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8310" tabRatio="855" firstSheet="4" activeTab="7"/>
  </bookViews>
  <sheets>
    <sheet name="ЄСКУ_Сп.тур." sheetId="1" state="hidden" r:id="rId1"/>
    <sheet name="Іменні заявки" sheetId="2" r:id="rId2"/>
    <sheet name="№-ра учасн." sheetId="3" state="hidden" r:id="rId3"/>
    <sheet name="Зв.проток.манд.ком." sheetId="4" r:id="rId4"/>
    <sheet name="Проток.жеребк." sheetId="5" r:id="rId5"/>
    <sheet name="Проток.ст.КСП" sheetId="6" r:id="rId6"/>
    <sheet name="Проток.рез.КСП" sheetId="7" r:id="rId7"/>
    <sheet name="КСП_іменні" sheetId="8" r:id="rId8"/>
    <sheet name="Проток.ст.Кр.-пох." sheetId="9" r:id="rId9"/>
    <sheet name="Прот.рез.Кр.-пох." sheetId="10" r:id="rId10"/>
    <sheet name="Кр.-пох._іменні" sheetId="11" r:id="rId11"/>
    <sheet name="Проток.рез.Чемп." sheetId="12" r:id="rId12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3" hidden="1">'Зв.проток.манд.ком.'!$D$13:$D$43</definedName>
    <definedName name="_xlnm._FilterDatabase" localSheetId="1" hidden="1">'Іменні заявки'!$L$9:$R$279</definedName>
    <definedName name="_xlnm.Print_Titles" localSheetId="1">'Іменні заявки'!$9:$9</definedName>
    <definedName name="_xlnm.Print_Titles" localSheetId="10">'Кр.-пох._іменні'!$1:$13</definedName>
    <definedName name="_xlnm.Print_Titles" localSheetId="7">'КСП_іменні'!$1:$13</definedName>
    <definedName name="_xlnm.Print_Area" localSheetId="2">'№-ра учасн.'!$A$1:$B$324</definedName>
    <definedName name="_xlnm.Print_Area" localSheetId="3">'Зв.проток.манд.ком.'!$C$1:$L$48</definedName>
    <definedName name="_xlnm.Print_Area" localSheetId="1">'Іменні заявки'!$A$9:$J$269</definedName>
    <definedName name="_xlnm.Print_Area" localSheetId="10">'Кр.-пох._іменні'!$A$2:$L$187</definedName>
    <definedName name="_xlnm.Print_Area" localSheetId="7">'КСП_іменні'!$A$1:$L$187</definedName>
    <definedName name="_xlnm.Print_Area" localSheetId="9">'Прот.рез.Кр.-пох.'!$C$1:$AA$42</definedName>
    <definedName name="_xlnm.Print_Area" localSheetId="4">'Проток.жеребк.'!$B$1:$G$40</definedName>
    <definedName name="_xlnm.Print_Area" localSheetId="6">'Проток.рез.КСП'!$C$1:$X$40</definedName>
    <definedName name="_xlnm.Print_Area" localSheetId="11">'Проток.рез.Чемп.'!$B$1:$H$40</definedName>
    <definedName name="_xlnm.Print_Area" localSheetId="8">'Проток.ст.Кр.-пох.'!$B$1:$I$39</definedName>
    <definedName name="_xlnm.Print_Area" localSheetId="5">'Проток.ст.КСП'!$B$1:$I$39</definedName>
    <definedName name="Час_проходження" localSheetId="6">'Проток.рез.КСП'!$U$12:$U$38</definedName>
    <definedName name="Час_проходження" localSheetId="11">'Проток.рез.Чемп.'!$G$10:$G$36</definedName>
    <definedName name="Час_проходження">#REF!</definedName>
    <definedName name="Штрафний_час" localSheetId="6">'Проток.рез.КСП'!#REF!</definedName>
    <definedName name="Штрафний_час" localSheetId="11">'Проток.рез.Чемп.'!#REF!</definedName>
    <definedName name="Штрафний_час">#REF!</definedName>
  </definedNames>
  <calcPr fullCalcOnLoad="1"/>
</workbook>
</file>

<file path=xl/comments3.xml><?xml version="1.0" encoding="utf-8"?>
<comments xmlns="http://schemas.openxmlformats.org/spreadsheetml/2006/main">
  <authors>
    <author>Sera@Vadym</author>
  </authors>
  <commentList>
    <comment ref="A2" authorId="0">
      <text>
        <r>
          <rPr>
            <b/>
            <sz val="9"/>
            <rFont val="Tahoma"/>
            <family val="2"/>
          </rPr>
          <t>При наступних параметрах при друці на форматі А4 виводяться 12 номерів (2 совбччика по 6 номерів) висотою 46 мм, що підходить до ширини широкого скотчу (48 мм):</t>
        </r>
        <r>
          <rPr>
            <sz val="9"/>
            <rFont val="Tahoma"/>
            <family val="2"/>
          </rPr>
          <t xml:space="preserve">
строка з командою - 21 піксель;
строка з номером - 148 пікселів;
строка з учасником - 21 піксель;
всі поля по 0,5;
масштаб 100% від натуральної величини.</t>
        </r>
      </text>
    </comment>
  </commentList>
</comments>
</file>

<file path=xl/sharedStrings.xml><?xml version="1.0" encoding="utf-8"?>
<sst xmlns="http://schemas.openxmlformats.org/spreadsheetml/2006/main" count="972" uniqueCount="416">
  <si>
    <t>Розряд з спорт. орієнтув.</t>
  </si>
  <si>
    <t>Колонки "Розряд..." заповнюються наступними скороченнями звань та розрядів (обов'язково і враховуючи знаки "пробел")</t>
  </si>
  <si>
    <t>МСУМК —</t>
  </si>
  <si>
    <t>Майстер спорту України міжнародного класу</t>
  </si>
  <si>
    <t>МСУ —</t>
  </si>
  <si>
    <t>Майстер спорту України</t>
  </si>
  <si>
    <t>КМСУ —</t>
  </si>
  <si>
    <t>Кандидат у майстри спорту України</t>
  </si>
  <si>
    <t>І —</t>
  </si>
  <si>
    <t>І розряд</t>
  </si>
  <si>
    <t>ІІ —</t>
  </si>
  <si>
    <t>ІІ розряд</t>
  </si>
  <si>
    <t>ІІІ —</t>
  </si>
  <si>
    <t>ІІІ розряд</t>
  </si>
  <si>
    <t>І юн —</t>
  </si>
  <si>
    <t>І юнацький розряд</t>
  </si>
  <si>
    <t>ІІ юн —</t>
  </si>
  <si>
    <t>ІІ юнацький розряд</t>
  </si>
  <si>
    <t>ІІІ юн —</t>
  </si>
  <si>
    <t>ІІІ юнацький розряд</t>
  </si>
  <si>
    <t>б/р —</t>
  </si>
  <si>
    <t>без розряду дорослі (16 років і старші)</t>
  </si>
  <si>
    <t>б/р юн —</t>
  </si>
  <si>
    <t>без розряду юнаки (до 16 років)</t>
  </si>
  <si>
    <t>Жовтий колір - тільки для спортивного орієнтування</t>
  </si>
  <si>
    <t>"Личники" - спортсмени не від команд</t>
  </si>
  <si>
    <t>№ з/п</t>
  </si>
  <si>
    <t>Команда</t>
  </si>
  <si>
    <t>№ учасника</t>
  </si>
  <si>
    <t>Результат</t>
  </si>
  <si>
    <t>Місце</t>
  </si>
  <si>
    <t>ПРОТОКОЛ РЕЗУЛЬТАТІВ</t>
  </si>
  <si>
    <t>Відносний результат</t>
  </si>
  <si>
    <t>м.Нетішин</t>
  </si>
  <si>
    <t>м.Шепетівка</t>
  </si>
  <si>
    <t>Розряд з спорт. туризму</t>
  </si>
  <si>
    <t>м.Старокостянтинів</t>
  </si>
  <si>
    <t>КМСУ</t>
  </si>
  <si>
    <t>поза конкурсом</t>
  </si>
  <si>
    <t>№
уч-ка</t>
  </si>
  <si>
    <t>Назва команди</t>
  </si>
  <si>
    <t>Регіон</t>
  </si>
  <si>
    <t>Тренер</t>
  </si>
  <si>
    <t>Білогірський р-н</t>
  </si>
  <si>
    <t>Віньковецький р-н</t>
  </si>
  <si>
    <t>Волочиський р-н</t>
  </si>
  <si>
    <t>Городоцький р-н</t>
  </si>
  <si>
    <t>Деражнянський р-н</t>
  </si>
  <si>
    <t>Ізяславський р-н</t>
  </si>
  <si>
    <t>Кам.-Подільський р-н</t>
  </si>
  <si>
    <t>Красилівський р-н</t>
  </si>
  <si>
    <t>Полонський р-н</t>
  </si>
  <si>
    <t>Славутський р-н</t>
  </si>
  <si>
    <t>Теофіпільський р-н</t>
  </si>
  <si>
    <t>Дунаєвецький р-н</t>
  </si>
  <si>
    <t>Летичівський р-н</t>
  </si>
  <si>
    <t>Новоушицький р-н</t>
  </si>
  <si>
    <t>Віньковецького р-ну</t>
  </si>
  <si>
    <t>Красилівського р-ну</t>
  </si>
  <si>
    <t>Полонського р-ну</t>
  </si>
  <si>
    <t>Старокостянтин. р-н</t>
  </si>
  <si>
    <t>Старосинявський р-н</t>
  </si>
  <si>
    <t>Хмельницький р-н</t>
  </si>
  <si>
    <t>Чемеровецький р-н</t>
  </si>
  <si>
    <t>Шепетівський р-н</t>
  </si>
  <si>
    <t>Ярмолинецький р-н</t>
  </si>
  <si>
    <t>м.Кам.-Подільський</t>
  </si>
  <si>
    <t>м.Славута</t>
  </si>
  <si>
    <t>м.Хмельницький</t>
  </si>
  <si>
    <t>м.Шепетівки</t>
  </si>
  <si>
    <t>І</t>
  </si>
  <si>
    <t>ІІ</t>
  </si>
  <si>
    <t>ІІІ</t>
  </si>
  <si>
    <t>Формула для определения в спортивном ориентировании "б/р" или"б/р юн" в зависимости от года рождения (граница 16 лет):</t>
  </si>
  <si>
    <t>Дунаєвецького р-ну</t>
  </si>
  <si>
    <t>Хитрюк І.В.</t>
  </si>
  <si>
    <t>Примітка</t>
  </si>
  <si>
    <t>Сума штрафів</t>
  </si>
  <si>
    <t>Штрафний час</t>
  </si>
  <si>
    <t>ХМЕЛЬНИЦЬКИЙ ОБЛАСНИЙ ЦЕНТР ТУРИЗМУ І КРАЄЗНАВСТВА УЧНІВСЬКОЇ МОЛОДІ</t>
  </si>
  <si>
    <t>Головний суддя:</t>
  </si>
  <si>
    <t>Головний секретар:</t>
  </si>
  <si>
    <t>День, місяць, рік народження</t>
  </si>
  <si>
    <t>Стать</t>
  </si>
  <si>
    <t>Назва ДЮСШ, ДСТ</t>
  </si>
  <si>
    <t>МСУ</t>
  </si>
  <si>
    <t>ч</t>
  </si>
  <si>
    <t>ж</t>
  </si>
  <si>
    <t>"=(B13-ПРАВСИМВ(B13;1))*10+ПРАВСИМВ(B13;1)"</t>
  </si>
  <si>
    <t>м.Славути</t>
  </si>
  <si>
    <t>—</t>
  </si>
  <si>
    <t>Лук'янчук О.В.</t>
  </si>
  <si>
    <t>Хмельницька обл.</t>
  </si>
  <si>
    <t>І с.р.</t>
  </si>
  <si>
    <t>ІІІ с.р.</t>
  </si>
  <si>
    <t>ІІ с.р.</t>
  </si>
  <si>
    <t>назва організації, що проводить змагання</t>
  </si>
  <si>
    <t>Зведений протокол мандатної комісії</t>
  </si>
  <si>
    <t>(назва змагань)</t>
  </si>
  <si>
    <t>(де, коли)</t>
  </si>
  <si>
    <t>№</t>
  </si>
  <si>
    <t>Дані про команду</t>
  </si>
  <si>
    <t>Прим.</t>
  </si>
  <si>
    <t xml:space="preserve">    Спортивна кваліфікація</t>
  </si>
  <si>
    <t>КМС</t>
  </si>
  <si>
    <t>МС</t>
  </si>
  <si>
    <t>чол.</t>
  </si>
  <si>
    <t>жін.</t>
  </si>
  <si>
    <t>Разом:</t>
  </si>
  <si>
    <t>Голова мандатної комісі</t>
  </si>
  <si>
    <t>Головний секретар</t>
  </si>
  <si>
    <t>ПРОТОКОЛ ЖЕРЕБКУВАННЯ</t>
  </si>
  <si>
    <t>Ранг дистанції:</t>
  </si>
  <si>
    <t>!!! в номерах учасників команди під номером 2700 можливі зміни у клітинках з назвою команди (у порівняні з рештою) !!!</t>
  </si>
  <si>
    <t>Прізвище, ім'я та по батькові</t>
  </si>
  <si>
    <t>"=ЕСЛИ(ЕПУСТО(C11);"";ЕСЛИ(И(ГОД(C11)&gt;=1993;ГОД(C11)&lt;=1995);"б/р";ЕСЛИ(И(ГОД(C11)&gt;1995;ГОД(C11)&lt;=1997);"б/р юн";"?")))"</t>
  </si>
  <si>
    <t>ІІІ с.р.
І ю.р.</t>
  </si>
  <si>
    <t>ІІ ю.р.</t>
  </si>
  <si>
    <t>% від результату переможця</t>
  </si>
  <si>
    <t>-</t>
  </si>
  <si>
    <t>Клас дистанції:</t>
  </si>
  <si>
    <t>III</t>
  </si>
  <si>
    <t>(англ.)</t>
  </si>
  <si>
    <t>І юн.р.</t>
  </si>
  <si>
    <t>ІІ юн.р.</t>
  </si>
  <si>
    <t>ЗЧ дистанції:</t>
  </si>
  <si>
    <r>
      <t>№</t>
    </r>
    <r>
      <rPr>
        <sz val="11"/>
        <rFont val="Times New Roman"/>
        <family val="1"/>
      </rPr>
      <t xml:space="preserve"> з/п</t>
    </r>
  </si>
  <si>
    <t>Час проход-ження</t>
  </si>
  <si>
    <t>Підйом по схилу</t>
  </si>
  <si>
    <t>ЗЧ</t>
  </si>
  <si>
    <t>Вид програми –  дистанція "Командна смуга перешкод" ІІІ класу</t>
  </si>
  <si>
    <t>Технічні результати спортсменів першої шістки для системи "Спортивний результат"</t>
  </si>
  <si>
    <t>Зайняте місце</t>
  </si>
  <si>
    <t>Прізвище, ім’я та по батькові спортсменів в команді</t>
  </si>
  <si>
    <t>Рік, день, місяць народження</t>
  </si>
  <si>
    <t>Абсолютний результат</t>
  </si>
  <si>
    <t>Назва ДЮСШ, СДЮШОР, УФК, УОР, ліцею</t>
  </si>
  <si>
    <t>Виконанаий норматив</t>
  </si>
  <si>
    <t>Прізвище, ініціали тренера</t>
  </si>
  <si>
    <r>
      <t>№</t>
    </r>
    <r>
      <rPr>
        <sz val="12"/>
        <rFont val="Times New Roman"/>
        <family val="1"/>
      </rPr>
      <t xml:space="preserve"> з/п</t>
    </r>
  </si>
  <si>
    <t>Дистанція: "Командна смуга перешкод", III клас</t>
  </si>
  <si>
    <t>Чемеровецького р-ну</t>
  </si>
  <si>
    <t>Білогірського р-ну</t>
  </si>
  <si>
    <t>м.Хмельницького</t>
  </si>
  <si>
    <t>Гаєвський Б.О.</t>
  </si>
  <si>
    <t>Визначення методом інтерполяції значень відносних результатів для виконання нормативів спортивних розрядів та звань.</t>
  </si>
  <si>
    <t xml:space="preserve">Ранг змагань на дистанції - </t>
  </si>
  <si>
    <t>Регіон (область, АР Крим, м.м.Київ,Севастополь)</t>
  </si>
  <si>
    <t>КМСУ – до</t>
  </si>
  <si>
    <t>I – до</t>
  </si>
  <si>
    <t>II – до</t>
  </si>
  <si>
    <t>III – до</t>
  </si>
  <si>
    <t>I юн. – до</t>
  </si>
  <si>
    <t>II юн. – до</t>
  </si>
  <si>
    <t>_________________</t>
  </si>
  <si>
    <t>Розряд, звання спортсме-на</t>
  </si>
  <si>
    <t>№ команди</t>
  </si>
  <si>
    <t>Ст. №</t>
  </si>
  <si>
    <t>скор. дист.</t>
  </si>
  <si>
    <t>скороч. дист. з ПКЧ-1</t>
  </si>
  <si>
    <t>скороч. дист. з ПКЧ-2</t>
  </si>
  <si>
    <t>"Командна смуга перешкод"</t>
  </si>
  <si>
    <t>н/у</t>
  </si>
  <si>
    <t>"Особ.-ком. смуга перешкод"</t>
  </si>
  <si>
    <t>"Фігурне водіння"</t>
  </si>
  <si>
    <t>Спуск по схилу</t>
  </si>
  <si>
    <t>"Тріал"</t>
  </si>
  <si>
    <t>"Велокрос"</t>
  </si>
  <si>
    <t>Вимоги виконання спортивних розрядів на дистанції:</t>
  </si>
  <si>
    <t>Посишен В.В.</t>
  </si>
  <si>
    <t>Дзеба Святослав Володимирович</t>
  </si>
  <si>
    <t>Цішевський Олександр Болеславович</t>
  </si>
  <si>
    <t>Юрчук Максим Вікторович</t>
  </si>
  <si>
    <t>Яворський Володимир Миколайович</t>
  </si>
  <si>
    <t>Яворський Олег Віталійович</t>
  </si>
  <si>
    <t>Василишин Віталій Іванович</t>
  </si>
  <si>
    <t>Швець Віталій Васильович</t>
  </si>
  <si>
    <t>Варава В.М.</t>
  </si>
  <si>
    <t>Комкар Володимир Сергійович</t>
  </si>
  <si>
    <t>Загоронюк Юрій Олександрович</t>
  </si>
  <si>
    <t>Чілій Володимир Анатолійович</t>
  </si>
  <si>
    <t>б/р</t>
  </si>
  <si>
    <t>Вакульчук Крістіна Григорівна</t>
  </si>
  <si>
    <t>Сукач Олександр Андрійович</t>
  </si>
  <si>
    <t>Лук'янчук Олександр Вікторович</t>
  </si>
  <si>
    <t>Гула Володимир Миколайович</t>
  </si>
  <si>
    <t>Посишен Віталій Володимирович</t>
  </si>
  <si>
    <t>Дубіневич Олександр Васильович</t>
  </si>
  <si>
    <t>Швець Сергій Володимирович</t>
  </si>
  <si>
    <t>Гонголь Оксана Василівна</t>
  </si>
  <si>
    <t>Козар Тетяна Василівна</t>
  </si>
  <si>
    <t>Габай Юрій Васильович</t>
  </si>
  <si>
    <t>Мулько Михайло Володимиович</t>
  </si>
  <si>
    <t>Храпач Андрій Віталійович</t>
  </si>
  <si>
    <t>Флік А.А.</t>
  </si>
  <si>
    <t>Полевий Юрій Богданович</t>
  </si>
  <si>
    <t>Касапчук Сергій Якович</t>
  </si>
  <si>
    <t>Кондратюк Іван Миколайович</t>
  </si>
  <si>
    <t>Зінчук Лариса Романівна</t>
  </si>
  <si>
    <t>м. Нетішина</t>
  </si>
  <si>
    <t>Андрійчук Борис Володимирович</t>
  </si>
  <si>
    <t>Хитрюк Ігор Владиславович</t>
  </si>
  <si>
    <t>Підлісний Григорій Володимирович</t>
  </si>
  <si>
    <t>Марценюк Злата Михайлівна</t>
  </si>
  <si>
    <t>Заторжинський Олександр Михайлович</t>
  </si>
  <si>
    <t>Швець Олександр Олександрович</t>
  </si>
  <si>
    <t>Кіретова І.О.</t>
  </si>
  <si>
    <t>Спортивний суддя національної категорії:</t>
  </si>
  <si>
    <t>Етап "" (скороч. дист.)</t>
  </si>
  <si>
    <t>Час проходж. "" (скороч. дист.)</t>
  </si>
  <si>
    <t>ПРОТОКОЛ ЗАГАЛЬНОГО ЗАЛІКУ</t>
  </si>
  <si>
    <t>Конкурсна програма</t>
  </si>
  <si>
    <t>"залік"</t>
  </si>
  <si>
    <t>"незалік"</t>
  </si>
  <si>
    <t>Сума місць на технічних дист-ціях</t>
  </si>
  <si>
    <t>чол.+жін.</t>
  </si>
  <si>
    <t>ПЗЧ-1</t>
  </si>
  <si>
    <t>ПЗЧ-2</t>
  </si>
  <si>
    <t>ПЗЧ-1=</t>
  </si>
  <si>
    <t>ПЗЧ-2=</t>
  </si>
  <si>
    <t>Деражнянського р-ну</t>
  </si>
  <si>
    <t>Скорбатюк Олег Олегович</t>
  </si>
  <si>
    <t>Мазур Віталій Миколайович</t>
  </si>
  <si>
    <t>Мельник Інна Віталіївна</t>
  </si>
  <si>
    <t>Ткачук Тетяна Анатоліївна</t>
  </si>
  <si>
    <t>Козачук Роман Іванович</t>
  </si>
  <si>
    <t>Гетманчук Олена Володимирівна</t>
  </si>
  <si>
    <t>Швець Аліна Василівна</t>
  </si>
  <si>
    <t>Яворський В.М.</t>
  </si>
  <si>
    <t>Піддубняк Віктор Анатолійович</t>
  </si>
  <si>
    <t>Іванов Віталій Володимирович</t>
  </si>
  <si>
    <t>Тустановський Микола Володимирович</t>
  </si>
  <si>
    <t>Лавринчук В.О.</t>
  </si>
  <si>
    <t>Батажук Андрій Ігорович</t>
  </si>
  <si>
    <t>м.Кам’янця-Подільського</t>
  </si>
  <si>
    <t>ПРОТОКОЛ СТАРТУ
на дистанції "Командна смуга перешкод"</t>
  </si>
  <si>
    <t>Місце на дистанції "Особисто-командна смуга перешкод"</t>
  </si>
  <si>
    <t>Місце на дистанції "Командна смуга перешкод"</t>
  </si>
  <si>
    <t>Сума місць</t>
  </si>
  <si>
    <t>Стартова група</t>
  </si>
  <si>
    <t>Старто-вий номер</t>
  </si>
  <si>
    <t>Орієнтовний час старту,
гг:хх</t>
  </si>
  <si>
    <t>Василинчук Сергій Олександрович</t>
  </si>
  <si>
    <t>Слободян Тетяна Михайлівна</t>
  </si>
  <si>
    <t>Чорнюк Андрій Валерійович</t>
  </si>
  <si>
    <t>Цісар Марина Володимирівна</t>
  </si>
  <si>
    <t>Шепетівського р-ну</t>
  </si>
  <si>
    <t>Хмельницького р-ну</t>
  </si>
  <si>
    <t>Новоушицького р-ну</t>
  </si>
  <si>
    <t>ПРОТОКОЛ № 1</t>
  </si>
  <si>
    <t>ПРОТОКОЛ СТАРТУ
на дистанції "Крос-похід"</t>
  </si>
  <si>
    <t>Час старту,
гг:хх</t>
  </si>
  <si>
    <t>ПРОТОКОЛ  РЕЗУЛЬТАТІВ</t>
  </si>
  <si>
    <t>КОМАНДА</t>
  </si>
  <si>
    <t>Час перевищення ОЧ</t>
  </si>
  <si>
    <t>Штраф за перевищення ОЧ</t>
  </si>
  <si>
    <t>штраф</t>
  </si>
  <si>
    <t>скроч.дист. з ПФ:
перев КЧ на ПФ</t>
  </si>
  <si>
    <t>скроч.дист. з ПФ:
непрох. &gt; 2 уч.</t>
  </si>
  <si>
    <t>скроч.дист. з ПФ:
рез. на ет. = 0 б.</t>
  </si>
  <si>
    <t>"Крос-похід"</t>
  </si>
  <si>
    <t>Департамент освіти і науки Хмельницької обласної державної адміністрації</t>
  </si>
  <si>
    <r>
      <t xml:space="preserve">змагань     </t>
    </r>
    <r>
      <rPr>
        <b/>
        <sz val="10"/>
        <rFont val="Arial Cyr"/>
        <family val="0"/>
      </rPr>
      <t>Чемпіонат області серед працівників закладів освіти з пішохідного туризму "Листопад-2014"</t>
    </r>
  </si>
  <si>
    <t>Слівіна А.О.</t>
  </si>
  <si>
    <t>штрафи на етапах</t>
  </si>
  <si>
    <t>Командна смуга перешкод,
III кл.</t>
  </si>
  <si>
    <t>"Крос-похід",
IV кл.</t>
  </si>
  <si>
    <t>Класифікаційні норми та вимоги "Спортивний туризм" (Наказ Міністерства молоді та спорту України "Про затвердження Класифікаційних норм та вимог Єдиної спортивної класифікації України з неолімпійських видів спорту" від 24.04.2014 № 1305).</t>
  </si>
  <si>
    <t>Класифікаційна таблиця</t>
  </si>
  <si>
    <t>Таблиця 4</t>
  </si>
  <si>
    <t>Кваліфікаційний ранг змагань на окремій дистанції (бали)</t>
  </si>
  <si>
    <t>IV</t>
  </si>
  <si>
    <t>— відсутні у "Класифікаційній таблиці" - значення, що потрібні для роботи функцій по визначенню "% від результату переможця" необхідних для виконання нормативу при визначенному ранзі дистанції, при рангу дистанції "2400".</t>
  </si>
  <si>
    <t>Умови виконання нормативів спортивних звань та розрядних вимог у виді програми "Змагання з видів спортивного туризму (пішохідного, лижного, гірського, водного, велосипедного, автомототуризму, вітрильного, спелеологічного)":</t>
  </si>
  <si>
    <t>1. Спортивне звання "Майстер спорту України" присвоюється за умови участі в офіційних всеукраїнських змаганнях команд або спортсменів в особистих змаганнях у виді програми, які представляють не менше 8 регіонів України.</t>
  </si>
  <si>
    <t>2. Спортивне звання "Майстер спорту України" присвоюється з 15 років.</t>
  </si>
  <si>
    <t>3. Спортивні розряди у змаганнях зі спортивного туризму присвоюються у тому випадку, якщо на дистанціях мають заліковий результат не менше 6 команд (спортсменів) і при виконанні вимог до відповідного класу дистанції.</t>
  </si>
  <si>
    <t>4. Вимоги до класу дистанцій у змаганнях зі спортивного туризму визначаються окремо у кожному з видів туризму у відповідному розділі правил змагань зі спортивного туризму.</t>
  </si>
  <si>
    <t>5. У разі проведення змагань на дистанціях у закритих приміщеннях присвоюються тільки спортивні розряди.</t>
  </si>
  <si>
    <t>6. Спортивні звання і розряди присвоюються тільки з видів спортивного туризму (пішохідний, лижний, гірський, водний, велосипедний, автомототуризм, вітрильний, спелеологічний).</t>
  </si>
  <si>
    <t>7. Спортивне звання "Майстер спорту України" присвоюється за результатами змагань не нижче ІІІ рангу.</t>
  </si>
  <si>
    <t>Майстер спорту України
1 - у командних або 1-2 - в особистих - на чемпіонаті України на двох дистанціях (одна з дистанцій може бути замінена участю в туристському поході не нижче IV категорії складності) за умови виконання нормативу на дистанції V класу з рангом не нижче 630 балів.</t>
  </si>
  <si>
    <t>Кандидат у майстри спорту України
Виконати вимоги класифікаційної таблиці 4 на двох дистанціях не нижче IV-V класів з кваліфікаційним рангом не нижче 200 балів (одна з дистанцій може бути замінена участю в туристському поході не нижче ІІІ категорії складності).</t>
  </si>
  <si>
    <t>І, II, III розряди, І, II юнацькі розряди
Виконати вимоги класифікаційної таблиці 4 на змаганнях з одного з видів спортивного туризму.</t>
  </si>
  <si>
    <t>І розряд виконується на дистанціях не нижче ІІІ класу;
ІІ розряд виконується на дистанціях не нижче ІІ класу;
III юнацький розряд виконують усі, хто повністю закінчив дистанцію і вклався у контрольний час.</t>
  </si>
  <si>
    <t>Дистанція: "Крос-похід", IV клас</t>
  </si>
  <si>
    <t>ПРОТОКОЛ № 2</t>
  </si>
  <si>
    <t>Вид програми –  дистанція "Крос-похід" IV класу</t>
  </si>
  <si>
    <t>Постійна часу:</t>
  </si>
  <si>
    <t>Мороз Максим Вікторович</t>
  </si>
  <si>
    <t>Скурський Сергій Анатолійович</t>
  </si>
  <si>
    <t>Скурський С.А.</t>
  </si>
  <si>
    <t>Михальчук Володимир Олексійович</t>
  </si>
  <si>
    <t>Богуславський Вадим Леонідович</t>
  </si>
  <si>
    <t>Кольков Володимир Іванович</t>
  </si>
  <si>
    <t>Мельник Анастасія Олександрівна</t>
  </si>
  <si>
    <t>Дмитрук Вадим Миколайович</t>
  </si>
  <si>
    <t>Яворський Валерій Юрійович</t>
  </si>
  <si>
    <t>Дубровський Андрій Іванович</t>
  </si>
  <si>
    <t>Слободян Іван Володимирович</t>
  </si>
  <si>
    <t>Матвієць Олександр Анатолійович</t>
  </si>
  <si>
    <t>Бійчук Олександр Михайлович</t>
  </si>
  <si>
    <t>Поліщук Віктор Аркадійович</t>
  </si>
  <si>
    <t>Салова Тетяна Василівна</t>
  </si>
  <si>
    <t>Пітик Ольга Олександрівна</t>
  </si>
  <si>
    <t>Іванов Олександр Леонідович</t>
  </si>
  <si>
    <t>Старокостянтин. р-ну</t>
  </si>
  <si>
    <t>Кожевніков А. В.</t>
  </si>
  <si>
    <t>Маринчак Дмитро Іванович</t>
  </si>
  <si>
    <t>Пастух Олександр Васильович</t>
  </si>
  <si>
    <t>Поліщук Андрій Олександрович</t>
  </si>
  <si>
    <t>Кожевніков  Антон Володимирович</t>
  </si>
  <si>
    <t>Червоняк Володимир Михайлович</t>
  </si>
  <si>
    <t>Кучер Олексій Васильович</t>
  </si>
  <si>
    <t>Левчук Федір Володимирович</t>
  </si>
  <si>
    <t>Мироненко Василь Олександрович</t>
  </si>
  <si>
    <t>Тустановський М,В.</t>
  </si>
  <si>
    <t>Рибачок Валентина Іллівна</t>
  </si>
  <si>
    <t>Цішевський О.Б.</t>
  </si>
  <si>
    <t>Романюк Руслан Миколайович</t>
  </si>
  <si>
    <t>Лиса Марія Степанівна</t>
  </si>
  <si>
    <t>Тимчук Дмитро Вадимович</t>
  </si>
  <si>
    <t>Пушкар Тетяна Василівна</t>
  </si>
  <si>
    <t>Кравчук І.П.</t>
  </si>
  <si>
    <t>час прох.</t>
  </si>
  <si>
    <t>Траверс скельної ділянки</t>
  </si>
  <si>
    <t>Навісна переправа через яр (швид.етап)</t>
  </si>
  <si>
    <t>Вигот. нош, трансп. потерпілого</t>
  </si>
  <si>
    <t>Переправа по вірьовці з перилами</t>
  </si>
  <si>
    <t>В'язання вузлів</t>
  </si>
  <si>
    <t>Проміжний ФІНІШ</t>
  </si>
  <si>
    <t>Навісна переправа з трасп. потерпілого</t>
  </si>
  <si>
    <t>Переправа по колоді</t>
  </si>
  <si>
    <t>перевищення ОЧ-2</t>
  </si>
  <si>
    <t>Час проходження швидкісних етапів</t>
  </si>
  <si>
    <t>Постійна часу</t>
  </si>
  <si>
    <t>10 жовтня 2015 року</t>
  </si>
  <si>
    <t>08 жовтня 2015 року</t>
  </si>
  <si>
    <t>Гринчук В.В.</t>
  </si>
  <si>
    <t>Чемпіонат області серед працівників закладів освіти з пішохідного туризму "Листопад-2015"</t>
  </si>
  <si>
    <t>ур.Новики Старокостянтинівського р-ну</t>
  </si>
  <si>
    <t>08-12 жовтня 2015 року</t>
  </si>
  <si>
    <t>Змагання – Чемпіонат області серед працівників закладів освіти з пішохідного туризму "Листопад-2015"</t>
  </si>
  <si>
    <t>Терміни проведення змагань – 08-12 жовтня 2015 року</t>
  </si>
  <si>
    <t>Дата проведення - 10 жовтня 2015 року</t>
  </si>
  <si>
    <t>(спортивний суддя І категорії)</t>
  </si>
  <si>
    <t>(спортивний суддя національної категорії)</t>
  </si>
  <si>
    <t>Дата проведення - 09 жовтня 2015 року</t>
  </si>
  <si>
    <t>Місце проведення – ур.Новики Старокостянтинівського р-ну Хмельницької обл.</t>
  </si>
  <si>
    <t>09 жовтня 2015 року</t>
  </si>
  <si>
    <t>Рух по жерди-нах</t>
  </si>
  <si>
    <t xml:space="preserve">Перепра-ва по колоді </t>
  </si>
  <si>
    <t>Перепра-ва по парал. мотузках</t>
  </si>
  <si>
    <t>Навісна перепра-ва ч/з яр</t>
  </si>
  <si>
    <t>Круто-
похила перепра-ва</t>
  </si>
  <si>
    <t>Спуск по верт. перилах</t>
  </si>
  <si>
    <t>Матвієць О.А.</t>
  </si>
  <si>
    <t>Мисюк Володимир Іванович</t>
  </si>
  <si>
    <t>Пурик Юлія Олександрівна</t>
  </si>
  <si>
    <t>Попенко Володимир Федорович</t>
  </si>
  <si>
    <t>Осіпчук Володимир Вікторович</t>
  </si>
  <si>
    <t>Боб Оксана Олександрівна</t>
  </si>
  <si>
    <t>Матраєв Євген Олексійович</t>
  </si>
  <si>
    <t>Заяць Роман Володимирович</t>
  </si>
  <si>
    <t>Герич В.В.</t>
  </si>
  <si>
    <t>Рябова Вікторія Володимирівна</t>
  </si>
  <si>
    <t>Кравчук Віктор Володимирович</t>
  </si>
  <si>
    <t>Бабик Олександр Миколайович</t>
  </si>
  <si>
    <t>Каменярська Катерина Вікторівна</t>
  </si>
  <si>
    <t>Загоронюк Ю.О.</t>
  </si>
  <si>
    <t>Самойлюк Володимир Трохимович</t>
  </si>
  <si>
    <t>Гетманчук Сергій Анатолійович</t>
  </si>
  <si>
    <t>Іщук О.М.</t>
  </si>
  <si>
    <t>Іщук Олег Михайлович</t>
  </si>
  <si>
    <t>Остапчук Оксана Василівна</t>
  </si>
  <si>
    <t>Степанишина Ольга Станіславівна</t>
  </si>
  <si>
    <t>Дубілей Андрій Валентинович</t>
  </si>
  <si>
    <t>Мулик Ярослав Євгенович</t>
  </si>
  <si>
    <t>Климчук Інна Павлівна</t>
  </si>
  <si>
    <t>Гайдук Богдан Вікторович</t>
  </si>
  <si>
    <t>Михальчишин Тарас Романович</t>
  </si>
  <si>
    <t>Шиманюк Антон Петрович</t>
  </si>
  <si>
    <t>Рудик Наталя Петрівна</t>
  </si>
  <si>
    <t>Бурбас Олександр Петрович</t>
  </si>
  <si>
    <t>Макогончук Вадим Петрович</t>
  </si>
  <si>
    <t>Пархомець Борис Петрович</t>
  </si>
  <si>
    <t>Герич Володимир Володимирович</t>
  </si>
  <si>
    <t>Савіцька Юлія Віталіївна</t>
  </si>
  <si>
    <t>Мондра Наталія Василівна</t>
  </si>
  <si>
    <t>Гарбар Анна Вікторівна</t>
  </si>
  <si>
    <t>Євтодій Максим Сергійович</t>
  </si>
  <si>
    <t>Бондар Андрій Вікторович</t>
  </si>
  <si>
    <t>Соболевська Інні Петрівна</t>
  </si>
  <si>
    <t>Левчук Ф.В.</t>
  </si>
  <si>
    <t>Корнєєва Наталія Юріївна</t>
  </si>
  <si>
    <t>Ніженський О.В.</t>
  </si>
  <si>
    <t>Левицький Андрій Сергійович</t>
  </si>
  <si>
    <t>Ноняк Ігор Михайлович</t>
  </si>
  <si>
    <t>Кукурудза Ігор Володимирович</t>
  </si>
  <si>
    <t>Кукурудза Вікторія Олегівна</t>
  </si>
  <si>
    <t>Рибачок Мирослава Анатоліївна</t>
  </si>
  <si>
    <t>Микитюк Тарас Олегович</t>
  </si>
  <si>
    <t>Ковальчук Андрій Васильович</t>
  </si>
  <si>
    <t>Яремов Дмитро Олегович</t>
  </si>
  <si>
    <t>Крупник Артур Юрійович</t>
  </si>
  <si>
    <t>Лавренюк Ірина Анатоліївна</t>
  </si>
  <si>
    <t>Гебда Ольга Анатоліївна</t>
  </si>
  <si>
    <t>Данилюк Ілона Юріївна</t>
  </si>
  <si>
    <t>Теслик Анатолій Петрович</t>
  </si>
  <si>
    <t>Поліщук Сергій Анатолійович</t>
  </si>
  <si>
    <t>Савчук Ганна Григорівна</t>
  </si>
  <si>
    <t>Войтенко Сергій Анатолійович</t>
  </si>
  <si>
    <t>Полева Наталія Іванівна</t>
  </si>
  <si>
    <t>Самойленко Олена Віталіївна</t>
  </si>
  <si>
    <t>Полева Н.І.</t>
  </si>
  <si>
    <t>ПФ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</si>
</sst>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400]h:mm:ss\ AM/PM"/>
    <numFmt numFmtId="186" formatCode="[$-422]d\ mmmm\ yyyy&quot; р.&quot;"/>
    <numFmt numFmtId="187" formatCode="h:mm:ss;@"/>
    <numFmt numFmtId="188" formatCode="[h]:mm:ss;@"/>
    <numFmt numFmtId="189" formatCode="[$-FC19]d\ mmmm\ yyyy\ &quot;г.&quot;"/>
    <numFmt numFmtId="190" formatCode="_(&quot;$&quot;* #,##0.00_);_(&quot;$&quot;* \(#,##0.00\);_(&quot;$&quot;* &quot;-&quot;??_);_(@_)"/>
    <numFmt numFmtId="191" formatCode="00000"/>
    <numFmt numFmtId="192" formatCode="yyyy/mm/dd"/>
    <numFmt numFmtId="193" formatCode="dd\.mm\.yyyy;@"/>
    <numFmt numFmtId="194" formatCode="yyyy/dd/mm"/>
  </numFmts>
  <fonts count="9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b/>
      <sz val="13"/>
      <name val="Arial Black"/>
      <family val="2"/>
    </font>
    <font>
      <b/>
      <sz val="9"/>
      <name val="Arial Cyr"/>
      <family val="0"/>
    </font>
    <font>
      <sz val="9.5"/>
      <name val="Arial Cyr"/>
      <family val="0"/>
    </font>
    <font>
      <b/>
      <sz val="120"/>
      <name val="Arial Narrow"/>
      <family val="2"/>
    </font>
    <font>
      <b/>
      <i/>
      <sz val="14"/>
      <name val="Arial Narrow"/>
      <family val="2"/>
    </font>
    <font>
      <b/>
      <sz val="124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2"/>
      <color indexed="10"/>
      <name val="Arial Cyr"/>
      <family val="0"/>
    </font>
    <font>
      <sz val="11"/>
      <color indexed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8"/>
      <name val="Arial Cyr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Calibri"/>
      <family val="2"/>
    </font>
    <font>
      <sz val="10"/>
      <color indexed="60"/>
      <name val="Arial Cyr"/>
      <family val="0"/>
    </font>
    <font>
      <sz val="11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Calibri"/>
      <family val="2"/>
    </font>
    <font>
      <sz val="10"/>
      <color rgb="FFC00000"/>
      <name val="Arial Cyr"/>
      <family val="0"/>
    </font>
    <font>
      <sz val="10"/>
      <color theme="9" tint="-0.4999699890613556"/>
      <name val="Arial Cyr"/>
      <family val="0"/>
    </font>
    <font>
      <sz val="11"/>
      <color theme="1"/>
      <name val="Arial Cyr"/>
      <family val="0"/>
    </font>
    <font>
      <i/>
      <sz val="10"/>
      <color theme="1"/>
      <name val="Arial Cyr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8FF9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dashDotDot">
        <color indexed="53"/>
      </top>
      <bottom style="dashDotDot">
        <color indexed="5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Dot">
        <color indexed="53"/>
      </right>
      <top style="dashDotDot">
        <color indexed="53"/>
      </top>
      <bottom style="dashDotDot">
        <color indexed="5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6" tint="-0.4999699890613556"/>
      </right>
      <top>
        <color indexed="63"/>
      </top>
      <bottom>
        <color indexed="63"/>
      </bottom>
    </border>
    <border>
      <left style="thick">
        <color theme="6" tint="-0.4999699890613556"/>
      </left>
      <right/>
      <top/>
      <bottom style="thick">
        <color theme="6" tint="-0.4999699890613556"/>
      </bottom>
    </border>
    <border>
      <left/>
      <right/>
      <top/>
      <bottom style="thick">
        <color theme="6" tint="-0.4999699890613556"/>
      </bottom>
    </border>
    <border>
      <left/>
      <right style="thick">
        <color theme="6" tint="-0.4999699890613556"/>
      </right>
      <top/>
      <bottom style="thick">
        <color theme="6" tint="-0.4999699890613556"/>
      </bottom>
    </border>
    <border>
      <left style="thin">
        <color theme="9" tint="-0.4999699890613556"/>
      </left>
      <right style="thick">
        <color theme="6" tint="-0.4999699890613556"/>
      </right>
      <top style="thick">
        <color theme="6" tint="-0.4999699890613556"/>
      </top>
      <bottom style="thin">
        <color theme="9" tint="-0.4999699890613556"/>
      </bottom>
    </border>
    <border>
      <left>
        <color indexed="63"/>
      </left>
      <right style="medium"/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dashDotDot">
        <color theme="9" tint="-0.24997000396251678"/>
      </right>
      <top style="dashDotDot">
        <color theme="9" tint="-0.24997000396251678"/>
      </top>
      <bottom style="dashDotDot">
        <color theme="9" tint="-0.24997000396251678"/>
      </bottom>
    </border>
    <border>
      <left>
        <color indexed="63"/>
      </left>
      <right style="medium"/>
      <top style="dashDotDot">
        <color theme="9" tint="-0.24997000396251678"/>
      </top>
      <bottom style="dashDotDot">
        <color theme="9" tint="-0.24997000396251678"/>
      </bottom>
    </border>
    <border>
      <left style="dashDotDot">
        <color indexed="53"/>
      </left>
      <right style="dashDotDot">
        <color indexed="53"/>
      </right>
      <top style="dashDotDot">
        <color indexed="53"/>
      </top>
      <bottom style="dashDotDot">
        <color indexed="53"/>
      </bottom>
    </border>
    <border>
      <left style="dashDotDot">
        <color indexed="53"/>
      </left>
      <right style="medium"/>
      <top style="dashDotDot">
        <color indexed="53"/>
      </top>
      <bottom style="dashDotDot">
        <color indexed="53"/>
      </bottom>
    </border>
    <border>
      <left style="medium">
        <color rgb="FF4F6228"/>
      </left>
      <right style="medium">
        <color rgb="FF4F6228"/>
      </right>
      <top style="medium">
        <color rgb="FF4F6228"/>
      </top>
      <bottom style="medium">
        <color rgb="FF4F6228"/>
      </bottom>
    </border>
    <border>
      <left style="medium">
        <color rgb="FF4F6228"/>
      </left>
      <right>
        <color rgb="FF000000"/>
      </right>
      <top style="medium">
        <color rgb="FF4F6228"/>
      </top>
      <bottom style="medium">
        <color rgb="FF4F6228"/>
      </bottom>
    </border>
    <border>
      <left style="medium">
        <color rgb="FF3F3151"/>
      </left>
      <right style="medium">
        <color rgb="FF3F3151"/>
      </right>
      <top style="medium">
        <color rgb="FF3F3151"/>
      </top>
      <bottom style="medium">
        <color rgb="FF3F3151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4F6228"/>
      </left>
      <right style="medium">
        <color rgb="FF4F6228"/>
      </right>
      <top style="medium">
        <color rgb="FF4F6228"/>
      </top>
      <bottom style="medium">
        <color rgb="FF0000FF"/>
      </bottom>
    </border>
    <border>
      <left style="medium">
        <color rgb="FF4F6228"/>
      </left>
      <right>
        <color rgb="FF000000"/>
      </right>
      <top style="medium">
        <color rgb="FF4F6228"/>
      </top>
      <bottom style="medium">
        <color rgb="FF0000FF"/>
      </bottom>
    </border>
    <border>
      <left style="medium">
        <color rgb="FF3F3151"/>
      </left>
      <right style="medium">
        <color rgb="FF3F3151"/>
      </right>
      <top style="medium">
        <color rgb="FF3F3151"/>
      </top>
      <bottom>
        <color rgb="FF000000"/>
      </bottom>
    </border>
    <border>
      <left style="dashDotDot">
        <color rgb="FFE46D0A"/>
      </left>
      <right style="dashDotDot">
        <color rgb="FFE46D0A"/>
      </right>
      <top style="dashDotDot">
        <color rgb="FFE46D0A"/>
      </top>
      <bottom style="dashDotDot">
        <color rgb="FFE46D0A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A5A5A5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medium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A5A5A5"/>
      </top>
      <bottom style="thin">
        <color rgb="FFA5A5A5"/>
      </bottom>
    </border>
    <border>
      <left style="medium">
        <color rgb="FF4F6228"/>
      </left>
      <right style="medium">
        <color rgb="FF4F6228"/>
      </right>
      <top style="medium">
        <color rgb="FF4F6228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FF"/>
      </top>
      <bottom>
        <color rgb="FF000000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 style="thick">
        <color theme="6" tint="-0.4999699890613556"/>
      </top>
      <bottom style="thin">
        <color theme="9" tint="-0.4999699890613556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A5A5A5"/>
      </bottom>
    </border>
    <border>
      <left style="thin">
        <color rgb="FF0000FF"/>
      </left>
      <right style="medium">
        <color rgb="FF0000FF"/>
      </right>
      <top style="thin">
        <color rgb="FFA5A5A5"/>
      </top>
      <bottom style="thin">
        <color rgb="FFA5A5A5"/>
      </bottom>
    </border>
    <border>
      <left style="thin">
        <color rgb="FF0000FF"/>
      </left>
      <right style="thin">
        <color rgb="FF0000FF"/>
      </right>
      <top style="thin">
        <color rgb="FFA5A5A5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A5A5A5"/>
      </bottom>
    </border>
    <border>
      <left style="medium">
        <color rgb="FF0000FF"/>
      </left>
      <right style="thin">
        <color rgb="FF0000FF"/>
      </right>
      <top style="thin">
        <color rgb="FFA5A5A5"/>
      </top>
      <bottom style="thin">
        <color rgb="FFA5A5A5"/>
      </bottom>
    </border>
    <border>
      <left style="medium">
        <color rgb="FF0000FF"/>
      </left>
      <right style="thin">
        <color rgb="FF0000FF"/>
      </right>
      <top style="thin">
        <color rgb="FFA5A5A5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thin">
        <color rgb="FFA5A5A5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ck">
        <color theme="6" tint="-0.4999699890613556"/>
      </top>
      <bottom style="thin">
        <color theme="9" tint="-0.4999699890613556"/>
      </bottom>
    </border>
    <border>
      <left style="thick">
        <color theme="6" tint="-0.4999699890613556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 style="thick">
        <color theme="6" tint="-0.4999699890613556"/>
      </right>
      <top style="thick">
        <color theme="6" tint="-0.4999699890613556"/>
      </top>
      <bottom>
        <color indexed="63"/>
      </bottom>
    </border>
    <border>
      <left style="dashDotDot">
        <color rgb="FFE46D0A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theme="6" tint="-0.4999699890613556"/>
      </left>
      <right style="thin">
        <color theme="9" tint="-0.4999699890613556"/>
      </right>
      <top style="thick">
        <color theme="6" tint="-0.4999699890613556"/>
      </top>
      <bottom style="thin">
        <color theme="9" tint="-0.4999699890613556"/>
      </bottom>
    </border>
    <border>
      <left style="thick">
        <color theme="6" tint="-0.4999699890613556"/>
      </left>
      <right style="thin">
        <color theme="9" tint="-0.4999699890613556"/>
      </right>
      <top>
        <color indexed="63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thin">
        <color theme="9" tint="-0.4999699890613556"/>
      </bottom>
    </border>
    <border>
      <left/>
      <right/>
      <top/>
      <bottom style="dashDotDot">
        <color indexed="53"/>
      </bottom>
    </border>
    <border>
      <left/>
      <right style="medium"/>
      <top/>
      <bottom style="dashDotDot">
        <color indexed="5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29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right" vertical="center"/>
    </xf>
    <xf numFmtId="21" fontId="30" fillId="0" borderId="0" xfId="0" applyNumberFormat="1" applyFont="1" applyAlignment="1">
      <alignment horizontal="left" vertical="center"/>
    </xf>
    <xf numFmtId="21" fontId="2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vertical="center"/>
    </xf>
    <xf numFmtId="0" fontId="15" fillId="0" borderId="18" xfId="0" applyNumberFormat="1" applyFont="1" applyBorder="1" applyAlignment="1">
      <alignment horizontal="left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21" fontId="15" fillId="0" borderId="19" xfId="0" applyNumberFormat="1" applyFont="1" applyBorder="1" applyAlignment="1">
      <alignment horizontal="center" vertical="center"/>
    </xf>
    <xf numFmtId="21" fontId="15" fillId="0" borderId="18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vertical="center"/>
    </xf>
    <xf numFmtId="0" fontId="15" fillId="0" borderId="26" xfId="0" applyNumberFormat="1" applyFont="1" applyBorder="1" applyAlignment="1">
      <alignment horizontal="left" vertical="center"/>
    </xf>
    <xf numFmtId="0" fontId="15" fillId="0" borderId="30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21" fontId="15" fillId="0" borderId="17" xfId="0" applyNumberFormat="1" applyFont="1" applyBorder="1" applyAlignment="1">
      <alignment horizontal="center" vertical="center"/>
    </xf>
    <xf numFmtId="21" fontId="15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194" fontId="27" fillId="0" borderId="11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2" fontId="13" fillId="0" borderId="0" xfId="0" applyNumberFormat="1" applyFont="1" applyAlignment="1">
      <alignment/>
    </xf>
    <xf numFmtId="0" fontId="27" fillId="0" borderId="26" xfId="0" applyFont="1" applyBorder="1" applyAlignment="1">
      <alignment horizontal="left" vertical="center" wrapText="1"/>
    </xf>
    <xf numFmtId="194" fontId="27" fillId="0" borderId="17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194" fontId="27" fillId="0" borderId="36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5" fillId="0" borderId="17" xfId="0" applyNumberFormat="1" applyFont="1" applyBorder="1" applyAlignment="1">
      <alignment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NumberFormat="1" applyFont="1" applyAlignment="1">
      <alignment/>
    </xf>
    <xf numFmtId="0" fontId="28" fillId="0" borderId="0" xfId="0" applyFont="1" applyAlignment="1">
      <alignment horizontal="right" vertical="center"/>
    </xf>
    <xf numFmtId="0" fontId="13" fillId="0" borderId="0" xfId="0" applyNumberFormat="1" applyFont="1" applyAlignment="1">
      <alignment/>
    </xf>
    <xf numFmtId="184" fontId="4" fillId="0" borderId="0" xfId="0" applyNumberFormat="1" applyFont="1" applyAlignment="1">
      <alignment horizontal="left"/>
    </xf>
    <xf numFmtId="0" fontId="67" fillId="0" borderId="0" xfId="54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18" fillId="0" borderId="0" xfId="0" applyFont="1" applyFill="1" applyAlignment="1">
      <alignment/>
    </xf>
    <xf numFmtId="21" fontId="15" fillId="0" borderId="19" xfId="0" applyNumberFormat="1" applyFont="1" applyFill="1" applyBorder="1" applyAlignment="1">
      <alignment horizontal="center" vertical="center"/>
    </xf>
    <xf numFmtId="0" fontId="15" fillId="33" borderId="40" xfId="0" applyNumberFormat="1" applyFont="1" applyFill="1" applyBorder="1" applyAlignment="1">
      <alignment horizontal="center" vertical="center"/>
    </xf>
    <xf numFmtId="21" fontId="15" fillId="0" borderId="17" xfId="0" applyNumberFormat="1" applyFont="1" applyFill="1" applyBorder="1" applyAlignment="1">
      <alignment horizontal="center" vertical="center"/>
    </xf>
    <xf numFmtId="0" fontId="15" fillId="33" borderId="41" xfId="0" applyNumberFormat="1" applyFont="1" applyFill="1" applyBorder="1" applyAlignment="1">
      <alignment horizontal="center" vertical="center"/>
    </xf>
    <xf numFmtId="0" fontId="67" fillId="19" borderId="42" xfId="54" applyFill="1" applyBorder="1">
      <alignment/>
      <protection/>
    </xf>
    <xf numFmtId="0" fontId="67" fillId="19" borderId="0" xfId="54" applyFill="1" applyBorder="1">
      <alignment/>
      <protection/>
    </xf>
    <xf numFmtId="0" fontId="67" fillId="19" borderId="43" xfId="54" applyFill="1" applyBorder="1">
      <alignment/>
      <protection/>
    </xf>
    <xf numFmtId="0" fontId="67" fillId="19" borderId="44" xfId="54" applyFill="1" applyBorder="1">
      <alignment/>
      <protection/>
    </xf>
    <xf numFmtId="0" fontId="67" fillId="19" borderId="45" xfId="54" applyFill="1" applyBorder="1">
      <alignment/>
      <protection/>
    </xf>
    <xf numFmtId="0" fontId="67" fillId="19" borderId="46" xfId="54" applyFill="1" applyBorder="1">
      <alignment/>
      <protection/>
    </xf>
    <xf numFmtId="0" fontId="84" fillId="19" borderId="47" xfId="54" applyFont="1" applyFill="1" applyBorder="1" applyAlignment="1">
      <alignment horizontal="center" vertical="center"/>
      <protection/>
    </xf>
    <xf numFmtId="0" fontId="85" fillId="0" borderId="34" xfId="54" applyFont="1" applyBorder="1" applyAlignment="1">
      <alignment horizontal="center" vertical="top" wrapText="1"/>
      <protection/>
    </xf>
    <xf numFmtId="0" fontId="85" fillId="0" borderId="48" xfId="54" applyFont="1" applyFill="1" applyBorder="1" applyAlignment="1">
      <alignment horizontal="center" vertical="top" wrapText="1"/>
      <protection/>
    </xf>
    <xf numFmtId="0" fontId="84" fillId="19" borderId="49" xfId="54" applyFont="1" applyFill="1" applyBorder="1" applyAlignment="1">
      <alignment horizontal="center" vertical="center"/>
      <protection/>
    </xf>
    <xf numFmtId="0" fontId="67" fillId="0" borderId="43" xfId="54" applyBorder="1">
      <alignment/>
      <protection/>
    </xf>
    <xf numFmtId="0" fontId="85" fillId="34" borderId="50" xfId="54" applyFont="1" applyFill="1" applyBorder="1" applyAlignment="1">
      <alignment horizontal="center" wrapText="1"/>
      <protection/>
    </xf>
    <xf numFmtId="0" fontId="85" fillId="34" borderId="51" xfId="54" applyFont="1" applyFill="1" applyBorder="1" applyAlignment="1">
      <alignment horizontal="center" wrapText="1"/>
      <protection/>
    </xf>
    <xf numFmtId="0" fontId="67" fillId="0" borderId="42" xfId="54" applyBorder="1">
      <alignment/>
      <protection/>
    </xf>
    <xf numFmtId="0" fontId="68" fillId="0" borderId="0" xfId="54" applyFont="1" applyBorder="1">
      <alignment/>
      <protection/>
    </xf>
    <xf numFmtId="0" fontId="76" fillId="0" borderId="0" xfId="54" applyFont="1" applyBorder="1">
      <alignment/>
      <protection/>
    </xf>
    <xf numFmtId="0" fontId="68" fillId="0" borderId="43" xfId="54" applyFont="1" applyBorder="1">
      <alignment/>
      <protection/>
    </xf>
    <xf numFmtId="0" fontId="86" fillId="0" borderId="50" xfId="54" applyFont="1" applyBorder="1" applyAlignment="1">
      <alignment horizontal="center" wrapText="1"/>
      <protection/>
    </xf>
    <xf numFmtId="0" fontId="86" fillId="0" borderId="51" xfId="54" applyFont="1" applyBorder="1" applyAlignment="1">
      <alignment horizontal="center" wrapText="1"/>
      <protection/>
    </xf>
    <xf numFmtId="0" fontId="75" fillId="16" borderId="42" xfId="54" applyFont="1" applyFill="1" applyBorder="1" applyAlignment="1">
      <alignment wrapText="1"/>
      <protection/>
    </xf>
    <xf numFmtId="2" fontId="75" fillId="16" borderId="0" xfId="54" applyNumberFormat="1" applyFont="1" applyFill="1" applyBorder="1">
      <alignment/>
      <protection/>
    </xf>
    <xf numFmtId="0" fontId="75" fillId="16" borderId="44" xfId="54" applyFont="1" applyFill="1" applyBorder="1" applyAlignment="1">
      <alignment wrapText="1"/>
      <protection/>
    </xf>
    <xf numFmtId="0" fontId="68" fillId="0" borderId="45" xfId="54" applyFont="1" applyBorder="1">
      <alignment/>
      <protection/>
    </xf>
    <xf numFmtId="2" fontId="75" fillId="16" borderId="45" xfId="54" applyNumberFormat="1" applyFont="1" applyFill="1" applyBorder="1">
      <alignment/>
      <protection/>
    </xf>
    <xf numFmtId="0" fontId="68" fillId="0" borderId="46" xfId="54" applyFont="1" applyBorder="1">
      <alignment/>
      <protection/>
    </xf>
    <xf numFmtId="0" fontId="86" fillId="35" borderId="50" xfId="54" applyFont="1" applyFill="1" applyBorder="1" applyAlignment="1">
      <alignment horizontal="center" wrapText="1"/>
      <protection/>
    </xf>
    <xf numFmtId="0" fontId="86" fillId="35" borderId="51" xfId="54" applyFont="1" applyFill="1" applyBorder="1" applyAlignment="1">
      <alignment horizontal="center" wrapText="1"/>
      <protection/>
    </xf>
    <xf numFmtId="0" fontId="2" fillId="0" borderId="52" xfId="0" applyNumberFormat="1" applyFont="1" applyBorder="1" applyAlignment="1">
      <alignment horizontal="center" vertical="top" wrapText="1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75" fillId="19" borderId="47" xfId="54" applyFont="1" applyFill="1" applyBorder="1" applyAlignment="1">
      <alignment horizontal="center" vertical="center"/>
      <protection/>
    </xf>
    <xf numFmtId="184" fontId="87" fillId="19" borderId="49" xfId="54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inden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9" xfId="0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1" fillId="36" borderId="1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right"/>
    </xf>
    <xf numFmtId="0" fontId="0" fillId="37" borderId="0" xfId="0" applyFill="1" applyAlignment="1">
      <alignment horizontal="right" indent="1"/>
    </xf>
    <xf numFmtId="0" fontId="2" fillId="37" borderId="0" xfId="0" applyFont="1" applyFill="1" applyAlignment="1">
      <alignment horizontal="right" indent="1"/>
    </xf>
    <xf numFmtId="2" fontId="2" fillId="37" borderId="0" xfId="0" applyNumberFormat="1" applyFont="1" applyFill="1" applyAlignment="1">
      <alignment horizontal="left"/>
    </xf>
    <xf numFmtId="0" fontId="2" fillId="37" borderId="0" xfId="0" applyFont="1" applyFill="1" applyAlignment="1">
      <alignment/>
    </xf>
    <xf numFmtId="0" fontId="33" fillId="0" borderId="1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16" fillId="38" borderId="57" xfId="0" applyFont="1" applyFill="1" applyBorder="1" applyAlignment="1">
      <alignment horizontal="center" vertical="center"/>
    </xf>
    <xf numFmtId="0" fontId="16" fillId="38" borderId="58" xfId="0" applyFont="1" applyFill="1" applyBorder="1" applyAlignment="1">
      <alignment horizontal="center" vertical="center"/>
    </xf>
    <xf numFmtId="0" fontId="16" fillId="39" borderId="59" xfId="0" applyFont="1" applyFill="1" applyBorder="1" applyAlignment="1">
      <alignment horizontal="center" vertical="center"/>
    </xf>
    <xf numFmtId="0" fontId="2" fillId="40" borderId="52" xfId="0" applyNumberFormat="1" applyFont="1" applyFill="1" applyBorder="1" applyAlignment="1">
      <alignment horizontal="center" vertical="top" wrapText="1"/>
    </xf>
    <xf numFmtId="0" fontId="17" fillId="41" borderId="60" xfId="0" applyFont="1" applyFill="1" applyBorder="1" applyAlignment="1">
      <alignment horizontal="center" vertical="center" textRotation="90" wrapText="1"/>
    </xf>
    <xf numFmtId="0" fontId="17" fillId="42" borderId="60" xfId="0" applyFont="1" applyFill="1" applyBorder="1" applyAlignment="1">
      <alignment horizontal="center" vertical="center" textRotation="90" wrapText="1"/>
    </xf>
    <xf numFmtId="0" fontId="17" fillId="43" borderId="60" xfId="0" applyFont="1" applyFill="1" applyBorder="1" applyAlignment="1">
      <alignment horizontal="center" vertical="center" textRotation="90" wrapText="1"/>
    </xf>
    <xf numFmtId="0" fontId="17" fillId="38" borderId="61" xfId="0" applyFont="1" applyFill="1" applyBorder="1" applyAlignment="1">
      <alignment horizontal="center" vertical="center" textRotation="90" wrapText="1"/>
    </xf>
    <xf numFmtId="0" fontId="17" fillId="38" borderId="62" xfId="0" applyFont="1" applyFill="1" applyBorder="1" applyAlignment="1">
      <alignment horizontal="center" vertical="center" textRotation="90" wrapText="1"/>
    </xf>
    <xf numFmtId="0" fontId="17" fillId="39" borderId="63" xfId="0" applyFont="1" applyFill="1" applyBorder="1" applyAlignment="1">
      <alignment horizontal="center" vertical="center" textRotation="90" wrapText="1"/>
    </xf>
    <xf numFmtId="0" fontId="2" fillId="44" borderId="64" xfId="0" applyNumberFormat="1" applyFont="1" applyFill="1" applyBorder="1" applyAlignment="1">
      <alignment horizontal="center" vertical="center" wrapText="1"/>
    </xf>
    <xf numFmtId="0" fontId="0" fillId="45" borderId="65" xfId="0" applyNumberFormat="1" applyFont="1" applyFill="1" applyBorder="1" applyAlignment="1">
      <alignment vertical="top"/>
    </xf>
    <xf numFmtId="0" fontId="0" fillId="45" borderId="65" xfId="0" applyNumberFormat="1" applyFont="1" applyFill="1" applyBorder="1" applyAlignment="1">
      <alignment horizontal="left" vertical="top"/>
    </xf>
    <xf numFmtId="193" fontId="0" fillId="45" borderId="65" xfId="0" applyNumberFormat="1" applyFont="1" applyFill="1" applyBorder="1" applyAlignment="1">
      <alignment horizontal="center" vertical="top"/>
    </xf>
    <xf numFmtId="0" fontId="0" fillId="45" borderId="65" xfId="0" applyNumberFormat="1" applyFont="1" applyFill="1" applyBorder="1" applyAlignment="1">
      <alignment horizontal="center" vertical="top"/>
    </xf>
    <xf numFmtId="0" fontId="16" fillId="41" borderId="66" xfId="0" applyFont="1" applyFill="1" applyBorder="1" applyAlignment="1">
      <alignment horizontal="center" vertical="center"/>
    </xf>
    <xf numFmtId="0" fontId="0" fillId="41" borderId="67" xfId="0" applyFont="1" applyFill="1" applyBorder="1" applyAlignment="1">
      <alignment horizontal="center" vertical="center"/>
    </xf>
    <xf numFmtId="0" fontId="0" fillId="41" borderId="68" xfId="0" applyFont="1" applyFill="1" applyBorder="1" applyAlignment="1">
      <alignment horizontal="center" vertical="center"/>
    </xf>
    <xf numFmtId="0" fontId="0" fillId="41" borderId="69" xfId="0" applyFont="1" applyFill="1" applyBorder="1" applyAlignment="1">
      <alignment horizontal="center" vertical="center"/>
    </xf>
    <xf numFmtId="0" fontId="0" fillId="0" borderId="70" xfId="0" applyNumberFormat="1" applyFont="1" applyBorder="1" applyAlignment="1">
      <alignment/>
    </xf>
    <xf numFmtId="0" fontId="0" fillId="44" borderId="64" xfId="0" applyNumberFormat="1" applyFont="1" applyFill="1" applyBorder="1" applyAlignment="1">
      <alignment/>
    </xf>
    <xf numFmtId="0" fontId="0" fillId="46" borderId="0" xfId="0" applyNumberFormat="1" applyFont="1" applyFill="1" applyBorder="1" applyAlignment="1">
      <alignment horizontal="right" vertical="center"/>
    </xf>
    <xf numFmtId="0" fontId="0" fillId="45" borderId="71" xfId="0" applyNumberFormat="1" applyFont="1" applyFill="1" applyBorder="1" applyAlignment="1">
      <alignment vertical="top"/>
    </xf>
    <xf numFmtId="0" fontId="0" fillId="45" borderId="71" xfId="0" applyNumberFormat="1" applyFont="1" applyFill="1" applyBorder="1" applyAlignment="1">
      <alignment horizontal="left" vertical="top"/>
    </xf>
    <xf numFmtId="193" fontId="0" fillId="45" borderId="71" xfId="0" applyNumberFormat="1" applyFont="1" applyFill="1" applyBorder="1" applyAlignment="1">
      <alignment horizontal="center" vertical="top"/>
    </xf>
    <xf numFmtId="0" fontId="0" fillId="45" borderId="71" xfId="0" applyNumberFormat="1" applyFont="1" applyFill="1" applyBorder="1" applyAlignment="1">
      <alignment horizontal="center" vertical="top"/>
    </xf>
    <xf numFmtId="0" fontId="16" fillId="42" borderId="66" xfId="0" applyFont="1" applyFill="1" applyBorder="1" applyAlignment="1">
      <alignment horizontal="center" vertical="center"/>
    </xf>
    <xf numFmtId="0" fontId="0" fillId="42" borderId="67" xfId="0" applyFont="1" applyFill="1" applyBorder="1" applyAlignment="1">
      <alignment horizontal="center" vertical="center"/>
    </xf>
    <xf numFmtId="0" fontId="0" fillId="42" borderId="68" xfId="0" applyFont="1" applyFill="1" applyBorder="1" applyAlignment="1">
      <alignment horizontal="center" vertical="center"/>
    </xf>
    <xf numFmtId="0" fontId="0" fillId="42" borderId="69" xfId="0" applyFont="1" applyFill="1" applyBorder="1" applyAlignment="1">
      <alignment horizontal="center" vertical="center"/>
    </xf>
    <xf numFmtId="0" fontId="0" fillId="44" borderId="64" xfId="0" applyFont="1" applyFill="1" applyBorder="1" applyAlignment="1">
      <alignment/>
    </xf>
    <xf numFmtId="0" fontId="16" fillId="43" borderId="66" xfId="0" applyFont="1" applyFill="1" applyBorder="1" applyAlignment="1">
      <alignment horizontal="center" vertical="center"/>
    </xf>
    <xf numFmtId="0" fontId="0" fillId="43" borderId="67" xfId="0" applyFont="1" applyFill="1" applyBorder="1" applyAlignment="1">
      <alignment horizontal="center" vertical="center"/>
    </xf>
    <xf numFmtId="0" fontId="0" fillId="43" borderId="68" xfId="0" applyFont="1" applyFill="1" applyBorder="1" applyAlignment="1">
      <alignment horizontal="center" vertical="center"/>
    </xf>
    <xf numFmtId="0" fontId="0" fillId="43" borderId="69" xfId="0" applyFont="1" applyFill="1" applyBorder="1" applyAlignment="1">
      <alignment horizontal="center" vertical="center"/>
    </xf>
    <xf numFmtId="0" fontId="16" fillId="38" borderId="72" xfId="0" applyFont="1" applyFill="1" applyBorder="1" applyAlignment="1">
      <alignment horizontal="center" vertical="center"/>
    </xf>
    <xf numFmtId="0" fontId="0" fillId="38" borderId="72" xfId="0" applyFont="1" applyFill="1" applyBorder="1" applyAlignment="1">
      <alignment/>
    </xf>
    <xf numFmtId="0" fontId="0" fillId="38" borderId="72" xfId="0" applyNumberFormat="1" applyFont="1" applyFill="1" applyBorder="1" applyAlignment="1">
      <alignment/>
    </xf>
    <xf numFmtId="0" fontId="16" fillId="39" borderId="63" xfId="0" applyFont="1" applyFill="1" applyBorder="1" applyAlignment="1">
      <alignment horizontal="center" vertical="center"/>
    </xf>
    <xf numFmtId="0" fontId="0" fillId="39" borderId="63" xfId="0" applyFont="1" applyFill="1" applyBorder="1" applyAlignment="1">
      <alignment/>
    </xf>
    <xf numFmtId="0" fontId="0" fillId="39" borderId="63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 horizontal="right" vertical="center"/>
    </xf>
    <xf numFmtId="14" fontId="0" fillId="45" borderId="71" xfId="0" applyNumberFormat="1" applyFont="1" applyFill="1" applyBorder="1" applyAlignment="1">
      <alignment horizontal="center" vertical="top"/>
    </xf>
    <xf numFmtId="0" fontId="0" fillId="0" borderId="73" xfId="0" applyNumberFormat="1" applyFont="1" applyBorder="1" applyAlignment="1">
      <alignment vertical="top"/>
    </xf>
    <xf numFmtId="0" fontId="0" fillId="0" borderId="73" xfId="0" applyNumberFormat="1" applyFont="1" applyBorder="1" applyAlignment="1">
      <alignment horizontal="left" vertical="top"/>
    </xf>
    <xf numFmtId="14" fontId="0" fillId="0" borderId="73" xfId="0" applyNumberFormat="1" applyFont="1" applyBorder="1" applyAlignment="1">
      <alignment horizontal="center" vertical="top"/>
    </xf>
    <xf numFmtId="0" fontId="0" fillId="0" borderId="73" xfId="0" applyNumberFormat="1" applyFont="1" applyBorder="1" applyAlignment="1">
      <alignment horizontal="center" vertical="top"/>
    </xf>
    <xf numFmtId="0" fontId="0" fillId="0" borderId="65" xfId="0" applyNumberFormat="1" applyFont="1" applyFill="1" applyBorder="1" applyAlignment="1">
      <alignment horizontal="left" vertical="top"/>
    </xf>
    <xf numFmtId="193" fontId="0" fillId="0" borderId="65" xfId="0" applyNumberFormat="1" applyFont="1" applyFill="1" applyBorder="1" applyAlignment="1">
      <alignment horizontal="center" vertical="top"/>
    </xf>
    <xf numFmtId="0" fontId="0" fillId="0" borderId="65" xfId="0" applyNumberFormat="1" applyFont="1" applyFill="1" applyBorder="1" applyAlignment="1">
      <alignment horizontal="center" vertical="top"/>
    </xf>
    <xf numFmtId="0" fontId="0" fillId="0" borderId="71" xfId="0" applyNumberFormat="1" applyFont="1" applyFill="1" applyBorder="1" applyAlignment="1">
      <alignment horizontal="left" vertical="top"/>
    </xf>
    <xf numFmtId="193" fontId="0" fillId="0" borderId="71" xfId="0" applyNumberFormat="1" applyFont="1" applyFill="1" applyBorder="1" applyAlignment="1">
      <alignment horizontal="center" vertical="top"/>
    </xf>
    <xf numFmtId="0" fontId="0" fillId="0" borderId="71" xfId="0" applyNumberFormat="1" applyFont="1" applyFill="1" applyBorder="1" applyAlignment="1">
      <alignment horizontal="center" vertical="top"/>
    </xf>
    <xf numFmtId="0" fontId="0" fillId="45" borderId="71" xfId="0" applyNumberFormat="1" applyFill="1" applyBorder="1" applyAlignment="1">
      <alignment horizontal="left" vertical="top"/>
    </xf>
    <xf numFmtId="0" fontId="0" fillId="45" borderId="71" xfId="0" applyNumberFormat="1" applyFill="1" applyBorder="1" applyAlignment="1">
      <alignment horizontal="center" vertical="top"/>
    </xf>
    <xf numFmtId="0" fontId="15" fillId="0" borderId="39" xfId="0" applyNumberFormat="1" applyFont="1" applyBorder="1" applyAlignment="1">
      <alignment horizontal="left" vertical="center"/>
    </xf>
    <xf numFmtId="0" fontId="15" fillId="0" borderId="74" xfId="0" applyNumberFormat="1" applyFont="1" applyBorder="1" applyAlignment="1">
      <alignment horizontal="center" vertical="center"/>
    </xf>
    <xf numFmtId="21" fontId="15" fillId="0" borderId="11" xfId="0" applyNumberFormat="1" applyFont="1" applyFill="1" applyBorder="1" applyAlignment="1">
      <alignment horizontal="center" vertical="center"/>
    </xf>
    <xf numFmtId="21" fontId="15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0" fillId="46" borderId="0" xfId="0" applyNumberFormat="1" applyFont="1" applyFill="1" applyBorder="1" applyAlignment="1">
      <alignment horizontal="left" vertical="center"/>
    </xf>
    <xf numFmtId="0" fontId="0" fillId="45" borderId="65" xfId="0" applyNumberFormat="1" applyFill="1" applyBorder="1" applyAlignment="1">
      <alignment horizontal="left" vertical="top"/>
    </xf>
    <xf numFmtId="0" fontId="1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15" fillId="0" borderId="82" xfId="0" applyNumberFormat="1" applyFont="1" applyBorder="1" applyAlignment="1">
      <alignment vertical="center"/>
    </xf>
    <xf numFmtId="0" fontId="15" fillId="0" borderId="82" xfId="0" applyNumberFormat="1" applyFont="1" applyBorder="1" applyAlignment="1">
      <alignment horizontal="left" vertical="center"/>
    </xf>
    <xf numFmtId="0" fontId="15" fillId="0" borderId="80" xfId="0" applyNumberFormat="1" applyFont="1" applyBorder="1" applyAlignment="1">
      <alignment horizontal="center" vertical="center"/>
    </xf>
    <xf numFmtId="0" fontId="15" fillId="0" borderId="80" xfId="0" applyNumberFormat="1" applyFont="1" applyFill="1" applyBorder="1" applyAlignment="1">
      <alignment horizontal="center" vertical="center"/>
    </xf>
    <xf numFmtId="0" fontId="84" fillId="19" borderId="83" xfId="54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/>
    </xf>
    <xf numFmtId="0" fontId="0" fillId="0" borderId="80" xfId="0" applyFont="1" applyFill="1" applyBorder="1" applyAlignment="1">
      <alignment vertical="center"/>
    </xf>
    <xf numFmtId="0" fontId="0" fillId="0" borderId="80" xfId="0" applyNumberFormat="1" applyFont="1" applyFill="1" applyBorder="1" applyAlignment="1">
      <alignment vertical="center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/>
    </xf>
    <xf numFmtId="0" fontId="0" fillId="0" borderId="82" xfId="0" applyFont="1" applyBorder="1" applyAlignment="1">
      <alignment vertical="center"/>
    </xf>
    <xf numFmtId="0" fontId="0" fillId="0" borderId="80" xfId="0" applyFont="1" applyBorder="1" applyAlignment="1">
      <alignment horizontal="left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5" fillId="33" borderId="96" xfId="0" applyNumberFormat="1" applyFont="1" applyFill="1" applyBorder="1" applyAlignment="1">
      <alignment horizontal="center" vertical="center"/>
    </xf>
    <xf numFmtId="21" fontId="15" fillId="0" borderId="80" xfId="0" applyNumberFormat="1" applyFont="1" applyFill="1" applyBorder="1" applyAlignment="1">
      <alignment horizontal="center" vertical="center"/>
    </xf>
    <xf numFmtId="21" fontId="15" fillId="0" borderId="80" xfId="0" applyNumberFormat="1" applyFont="1" applyBorder="1" applyAlignment="1">
      <alignment horizontal="center" vertical="center"/>
    </xf>
    <xf numFmtId="21" fontId="15" fillId="0" borderId="82" xfId="0" applyNumberFormat="1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16" fillId="47" borderId="72" xfId="0" applyFont="1" applyFill="1" applyBorder="1" applyAlignment="1">
      <alignment horizontal="center" vertical="center"/>
    </xf>
    <xf numFmtId="0" fontId="0" fillId="47" borderId="72" xfId="0" applyFont="1" applyFill="1" applyBorder="1" applyAlignment="1">
      <alignment/>
    </xf>
    <xf numFmtId="0" fontId="0" fillId="47" borderId="72" xfId="0" applyNumberFormat="1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 vertical="top" wrapText="1"/>
    </xf>
    <xf numFmtId="0" fontId="20" fillId="0" borderId="97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 shrinkToFit="1"/>
    </xf>
    <xf numFmtId="0" fontId="20" fillId="0" borderId="100" xfId="0" applyFont="1" applyFill="1" applyBorder="1" applyAlignment="1">
      <alignment horizontal="center" vertical="center" shrinkToFi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31" fillId="37" borderId="90" xfId="0" applyNumberFormat="1" applyFont="1" applyFill="1" applyBorder="1" applyAlignment="1">
      <alignment horizontal="center" vertical="top" wrapText="1"/>
    </xf>
    <xf numFmtId="49" fontId="34" fillId="0" borderId="34" xfId="0" applyNumberFormat="1" applyFont="1" applyFill="1" applyBorder="1" applyAlignment="1">
      <alignment horizontal="center" vertical="top" wrapText="1"/>
    </xf>
    <xf numFmtId="0" fontId="0" fillId="0" borderId="74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82" xfId="0" applyNumberFormat="1" applyFont="1" applyFill="1" applyBorder="1" applyAlignment="1">
      <alignment horizontal="center" vertical="center"/>
    </xf>
    <xf numFmtId="20" fontId="0" fillId="0" borderId="80" xfId="0" applyNumberFormat="1" applyFont="1" applyFill="1" applyBorder="1" applyAlignment="1">
      <alignment horizontal="center" vertical="center"/>
    </xf>
    <xf numFmtId="21" fontId="0" fillId="0" borderId="81" xfId="0" applyNumberFormat="1" applyFont="1" applyFill="1" applyBorder="1" applyAlignment="1">
      <alignment/>
    </xf>
    <xf numFmtId="21" fontId="0" fillId="0" borderId="0" xfId="0" applyNumberFormat="1" applyFont="1" applyFill="1" applyAlignment="1">
      <alignment/>
    </xf>
    <xf numFmtId="0" fontId="33" fillId="0" borderId="19" xfId="0" applyNumberFormat="1" applyFont="1" applyBorder="1" applyAlignment="1">
      <alignment horizontal="center" vertical="center"/>
    </xf>
    <xf numFmtId="0" fontId="33" fillId="0" borderId="1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31" fillId="48" borderId="9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21" fontId="0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 shrinkToFit="1"/>
    </xf>
    <xf numFmtId="0" fontId="15" fillId="0" borderId="2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21" fontId="15" fillId="0" borderId="32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 shrinkToFit="1"/>
    </xf>
    <xf numFmtId="0" fontId="15" fillId="0" borderId="39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shrinkToFit="1"/>
    </xf>
    <xf numFmtId="0" fontId="0" fillId="0" borderId="81" xfId="0" applyFont="1" applyBorder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84" fillId="19" borderId="83" xfId="54" applyFont="1" applyFill="1" applyBorder="1" applyAlignment="1">
      <alignment horizontal="center" vertical="center"/>
      <protection/>
    </xf>
    <xf numFmtId="0" fontId="88" fillId="0" borderId="0" xfId="0" applyFont="1" applyAlignment="1">
      <alignment/>
    </xf>
    <xf numFmtId="0" fontId="31" fillId="0" borderId="101" xfId="0" applyFont="1" applyBorder="1" applyAlignment="1">
      <alignment horizontal="center" vertical="top" wrapText="1"/>
    </xf>
    <xf numFmtId="0" fontId="31" fillId="0" borderId="102" xfId="0" applyFont="1" applyFill="1" applyBorder="1" applyAlignment="1">
      <alignment horizontal="center" vertical="top" wrapText="1"/>
    </xf>
    <xf numFmtId="0" fontId="32" fillId="36" borderId="102" xfId="0" applyFont="1" applyFill="1" applyBorder="1" applyAlignment="1">
      <alignment horizontal="center" vertical="center" textRotation="90" wrapText="1"/>
    </xf>
    <xf numFmtId="0" fontId="31" fillId="0" borderId="102" xfId="0" applyFont="1" applyBorder="1" applyAlignment="1">
      <alignment horizontal="center" vertical="top" wrapText="1"/>
    </xf>
    <xf numFmtId="0" fontId="31" fillId="48" borderId="102" xfId="0" applyFont="1" applyFill="1" applyBorder="1" applyAlignment="1">
      <alignment horizontal="center" vertical="top" wrapText="1"/>
    </xf>
    <xf numFmtId="0" fontId="31" fillId="48" borderId="103" xfId="0" applyFont="1" applyFill="1" applyBorder="1" applyAlignment="1">
      <alignment horizontal="center" vertical="top" wrapText="1"/>
    </xf>
    <xf numFmtId="0" fontId="15" fillId="0" borderId="21" xfId="0" applyNumberFormat="1" applyFont="1" applyBorder="1" applyAlignment="1">
      <alignment horizontal="center" vertical="center"/>
    </xf>
    <xf numFmtId="0" fontId="1" fillId="36" borderId="21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/>
    </xf>
    <xf numFmtId="0" fontId="15" fillId="36" borderId="21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" fillId="36" borderId="28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/>
    </xf>
    <xf numFmtId="0" fontId="15" fillId="36" borderId="28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76" xfId="0" applyNumberFormat="1" applyFont="1" applyBorder="1" applyAlignment="1">
      <alignment horizontal="center" vertical="center"/>
    </xf>
    <xf numFmtId="0" fontId="1" fillId="36" borderId="76" xfId="0" applyNumberFormat="1" applyFont="1" applyFill="1" applyBorder="1" applyAlignment="1">
      <alignment horizontal="center" vertical="center" wrapText="1"/>
    </xf>
    <xf numFmtId="0" fontId="15" fillId="0" borderId="76" xfId="0" applyNumberFormat="1" applyFont="1" applyFill="1" applyBorder="1" applyAlignment="1">
      <alignment horizontal="center" vertical="center"/>
    </xf>
    <xf numFmtId="0" fontId="15" fillId="36" borderId="76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" fillId="36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36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top" wrapText="1"/>
    </xf>
    <xf numFmtId="21" fontId="15" fillId="0" borderId="79" xfId="0" applyNumberFormat="1" applyFont="1" applyBorder="1" applyAlignment="1">
      <alignment horizontal="center" vertical="center"/>
    </xf>
    <xf numFmtId="21" fontId="15" fillId="0" borderId="19" xfId="0" applyNumberFormat="1" applyFont="1" applyBorder="1" applyAlignment="1">
      <alignment horizontal="center" vertical="center"/>
    </xf>
    <xf numFmtId="21" fontId="15" fillId="0" borderId="17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21" fontId="15" fillId="0" borderId="36" xfId="0" applyNumberFormat="1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 shrinkToFi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indent="1"/>
    </xf>
    <xf numFmtId="0" fontId="2" fillId="0" borderId="0" xfId="0" applyFont="1" applyFill="1" applyAlignment="1">
      <alignment horizontal="right" indent="1"/>
    </xf>
    <xf numFmtId="2" fontId="2" fillId="0" borderId="0" xfId="0" applyNumberFormat="1" applyFont="1" applyFill="1" applyAlignment="1">
      <alignment horizontal="left"/>
    </xf>
    <xf numFmtId="21" fontId="15" fillId="0" borderId="38" xfId="0" applyNumberFormat="1" applyFont="1" applyBorder="1" applyAlignment="1">
      <alignment horizontal="center" vertical="center"/>
    </xf>
    <xf numFmtId="0" fontId="15" fillId="0" borderId="79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80" xfId="0" applyFill="1" applyBorder="1" applyAlignment="1">
      <alignment vertical="center"/>
    </xf>
    <xf numFmtId="0" fontId="15" fillId="33" borderId="15" xfId="0" applyNumberFormat="1" applyFont="1" applyFill="1" applyBorder="1" applyAlignment="1">
      <alignment horizontal="center" vertical="center"/>
    </xf>
    <xf numFmtId="1" fontId="15" fillId="33" borderId="4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0" fillId="0" borderId="0" xfId="0" applyFont="1" applyFill="1" applyAlignment="1">
      <alignment horizontal="right" vertical="center"/>
    </xf>
    <xf numFmtId="21" fontId="90" fillId="0" borderId="0" xfId="0" applyNumberFormat="1" applyFont="1" applyFill="1" applyAlignment="1">
      <alignment horizontal="center" vertical="center"/>
    </xf>
    <xf numFmtId="0" fontId="91" fillId="0" borderId="0" xfId="0" applyFont="1" applyAlignment="1">
      <alignment vertical="center"/>
    </xf>
    <xf numFmtId="21" fontId="0" fillId="49" borderId="28" xfId="0" applyNumberFormat="1" applyFont="1" applyFill="1" applyBorder="1" applyAlignment="1">
      <alignment/>
    </xf>
    <xf numFmtId="0" fontId="2" fillId="0" borderId="104" xfId="0" applyNumberFormat="1" applyFont="1" applyBorder="1" applyAlignment="1">
      <alignment horizontal="center" vertical="top" wrapText="1"/>
    </xf>
    <xf numFmtId="0" fontId="0" fillId="0" borderId="70" xfId="0" applyFont="1" applyBorder="1" applyAlignment="1">
      <alignment/>
    </xf>
    <xf numFmtId="0" fontId="0" fillId="45" borderId="105" xfId="0" applyNumberFormat="1" applyFont="1" applyFill="1" applyBorder="1" applyAlignment="1">
      <alignment horizontal="left" vertical="top"/>
    </xf>
    <xf numFmtId="0" fontId="0" fillId="0" borderId="70" xfId="0" applyBorder="1" applyAlignment="1">
      <alignment/>
    </xf>
    <xf numFmtId="0" fontId="0" fillId="45" borderId="106" xfId="0" applyNumberFormat="1" applyFill="1" applyBorder="1" applyAlignment="1">
      <alignment horizontal="left" vertical="top"/>
    </xf>
    <xf numFmtId="0" fontId="0" fillId="45" borderId="106" xfId="0" applyNumberFormat="1" applyFont="1" applyFill="1" applyBorder="1" applyAlignment="1">
      <alignment horizontal="left" vertical="top"/>
    </xf>
    <xf numFmtId="0" fontId="0" fillId="0" borderId="107" xfId="0" applyNumberFormat="1" applyFont="1" applyFill="1" applyBorder="1" applyAlignment="1">
      <alignment horizontal="left" vertical="top"/>
    </xf>
    <xf numFmtId="193" fontId="0" fillId="0" borderId="107" xfId="0" applyNumberFormat="1" applyFont="1" applyFill="1" applyBorder="1" applyAlignment="1">
      <alignment horizontal="center" vertical="top"/>
    </xf>
    <xf numFmtId="0" fontId="0" fillId="0" borderId="107" xfId="0" applyNumberFormat="1" applyFont="1" applyFill="1" applyBorder="1" applyAlignment="1">
      <alignment horizontal="center" vertical="top"/>
    </xf>
    <xf numFmtId="0" fontId="0" fillId="0" borderId="73" xfId="0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108" xfId="0" applyNumberFormat="1" applyFont="1" applyFill="1" applyBorder="1" applyAlignment="1">
      <alignment vertical="top"/>
    </xf>
    <xf numFmtId="0" fontId="0" fillId="0" borderId="109" xfId="0" applyNumberFormat="1" applyFont="1" applyFill="1" applyBorder="1" applyAlignment="1">
      <alignment vertical="top"/>
    </xf>
    <xf numFmtId="0" fontId="0" fillId="0" borderId="110" xfId="0" applyNumberFormat="1" applyFont="1" applyFill="1" applyBorder="1" applyAlignment="1">
      <alignment vertical="top"/>
    </xf>
    <xf numFmtId="0" fontId="0" fillId="0" borderId="105" xfId="0" applyNumberFormat="1" applyFont="1" applyFill="1" applyBorder="1" applyAlignment="1">
      <alignment horizontal="left" vertical="top"/>
    </xf>
    <xf numFmtId="0" fontId="0" fillId="0" borderId="106" xfId="0" applyNumberFormat="1" applyFont="1" applyFill="1" applyBorder="1" applyAlignment="1">
      <alignment horizontal="left" vertical="top"/>
    </xf>
    <xf numFmtId="0" fontId="0" fillId="0" borderId="111" xfId="0" applyNumberFormat="1" applyFont="1" applyFill="1" applyBorder="1" applyAlignment="1">
      <alignment horizontal="left" vertical="top"/>
    </xf>
    <xf numFmtId="0" fontId="0" fillId="0" borderId="85" xfId="0" applyBorder="1" applyAlignment="1">
      <alignment horizontal="center" vertical="center"/>
    </xf>
    <xf numFmtId="0" fontId="0" fillId="0" borderId="112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48" borderId="0" xfId="0" applyFill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75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114" xfId="0" applyNumberFormat="1" applyFont="1" applyFill="1" applyBorder="1" applyAlignment="1">
      <alignment horizontal="center" vertical="center"/>
    </xf>
    <xf numFmtId="45" fontId="15" fillId="0" borderId="25" xfId="0" applyNumberFormat="1" applyFont="1" applyFill="1" applyBorder="1" applyAlignment="1">
      <alignment horizontal="center" vertical="center"/>
    </xf>
    <xf numFmtId="45" fontId="15" fillId="0" borderId="32" xfId="0" applyNumberFormat="1" applyFont="1" applyFill="1" applyBorder="1" applyAlignment="1">
      <alignment horizontal="center" vertical="center"/>
    </xf>
    <xf numFmtId="45" fontId="15" fillId="0" borderId="79" xfId="0" applyNumberFormat="1" applyFont="1" applyFill="1" applyBorder="1" applyAlignment="1">
      <alignment horizontal="center" vertical="center"/>
    </xf>
    <xf numFmtId="45" fontId="15" fillId="0" borderId="38" xfId="0" applyNumberFormat="1" applyFont="1" applyFill="1" applyBorder="1" applyAlignment="1">
      <alignment horizontal="center" vertical="center"/>
    </xf>
    <xf numFmtId="21" fontId="15" fillId="48" borderId="25" xfId="0" applyNumberFormat="1" applyFont="1" applyFill="1" applyBorder="1" applyAlignment="1">
      <alignment horizontal="center" vertical="center"/>
    </xf>
    <xf numFmtId="1" fontId="15" fillId="48" borderId="25" xfId="0" applyNumberFormat="1" applyFont="1" applyFill="1" applyBorder="1" applyAlignment="1">
      <alignment horizontal="center" vertical="center"/>
    </xf>
    <xf numFmtId="21" fontId="15" fillId="48" borderId="32" xfId="0" applyNumberFormat="1" applyFont="1" applyFill="1" applyBorder="1" applyAlignment="1">
      <alignment horizontal="center" vertical="center"/>
    </xf>
    <xf numFmtId="1" fontId="15" fillId="48" borderId="32" xfId="0" applyNumberFormat="1" applyFont="1" applyFill="1" applyBorder="1" applyAlignment="1">
      <alignment horizontal="center" vertical="center"/>
    </xf>
    <xf numFmtId="1" fontId="15" fillId="48" borderId="79" xfId="0" applyNumberFormat="1" applyFont="1" applyFill="1" applyBorder="1" applyAlignment="1">
      <alignment horizontal="center" vertical="center"/>
    </xf>
    <xf numFmtId="21" fontId="15" fillId="48" borderId="38" xfId="0" applyNumberFormat="1" applyFont="1" applyFill="1" applyBorder="1" applyAlignment="1">
      <alignment horizontal="center" vertical="center"/>
    </xf>
    <xf numFmtId="1" fontId="15" fillId="48" borderId="36" xfId="0" applyNumberFormat="1" applyFont="1" applyFill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0" fontId="15" fillId="48" borderId="25" xfId="0" applyNumberFormat="1" applyFont="1" applyFill="1" applyBorder="1" applyAlignment="1">
      <alignment horizontal="center" vertical="center"/>
    </xf>
    <xf numFmtId="0" fontId="15" fillId="48" borderId="79" xfId="0" applyNumberFormat="1" applyFont="1" applyFill="1" applyBorder="1" applyAlignment="1">
      <alignment horizontal="center" vertical="center"/>
    </xf>
    <xf numFmtId="0" fontId="15" fillId="48" borderId="32" xfId="0" applyNumberFormat="1" applyFont="1" applyFill="1" applyBorder="1" applyAlignment="1">
      <alignment horizontal="center" vertical="center"/>
    </xf>
    <xf numFmtId="0" fontId="15" fillId="48" borderId="38" xfId="0" applyNumberFormat="1" applyFont="1" applyFill="1" applyBorder="1" applyAlignment="1">
      <alignment horizontal="center" vertical="center"/>
    </xf>
    <xf numFmtId="21" fontId="0" fillId="0" borderId="79" xfId="0" applyNumberFormat="1" applyFont="1" applyFill="1" applyBorder="1" applyAlignment="1">
      <alignment horizontal="center" vertical="center"/>
    </xf>
    <xf numFmtId="21" fontId="0" fillId="0" borderId="38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85" fillId="0" borderId="33" xfId="54" applyFont="1" applyBorder="1" applyAlignment="1">
      <alignment horizontal="center" vertical="top" wrapText="1"/>
      <protection/>
    </xf>
    <xf numFmtId="0" fontId="85" fillId="0" borderId="50" xfId="54" applyFont="1" applyBorder="1" applyAlignment="1">
      <alignment horizontal="center" vertical="top" wrapText="1"/>
      <protection/>
    </xf>
    <xf numFmtId="0" fontId="85" fillId="0" borderId="90" xfId="54" applyFont="1" applyBorder="1" applyAlignment="1">
      <alignment horizontal="center" vertical="top" wrapText="1"/>
      <protection/>
    </xf>
    <xf numFmtId="0" fontId="85" fillId="0" borderId="115" xfId="54" applyFont="1" applyBorder="1" applyAlignment="1">
      <alignment horizontal="center" vertical="top" wrapText="1"/>
      <protection/>
    </xf>
    <xf numFmtId="0" fontId="85" fillId="0" borderId="48" xfId="54" applyFont="1" applyBorder="1" applyAlignment="1">
      <alignment horizontal="center" vertical="top" wrapText="1"/>
      <protection/>
    </xf>
    <xf numFmtId="0" fontId="84" fillId="19" borderId="116" xfId="54" applyFont="1" applyFill="1" applyBorder="1" applyAlignment="1">
      <alignment horizontal="center" vertical="center"/>
      <protection/>
    </xf>
    <xf numFmtId="0" fontId="84" fillId="19" borderId="117" xfId="54" applyFont="1" applyFill="1" applyBorder="1" applyAlignment="1">
      <alignment horizontal="center" vertical="center"/>
      <protection/>
    </xf>
    <xf numFmtId="0" fontId="84" fillId="19" borderId="118" xfId="54" applyFont="1" applyFill="1" applyBorder="1" applyAlignment="1">
      <alignment horizontal="center" vertical="center"/>
      <protection/>
    </xf>
    <xf numFmtId="0" fontId="84" fillId="19" borderId="119" xfId="54" applyFont="1" applyFill="1" applyBorder="1" applyAlignment="1">
      <alignment horizontal="center" vertical="center"/>
      <protection/>
    </xf>
    <xf numFmtId="0" fontId="92" fillId="19" borderId="120" xfId="54" applyFont="1" applyFill="1" applyBorder="1" applyAlignment="1">
      <alignment horizontal="center" vertical="top" wrapText="1"/>
      <protection/>
    </xf>
    <xf numFmtId="0" fontId="92" fillId="19" borderId="121" xfId="54" applyFont="1" applyFill="1" applyBorder="1" applyAlignment="1">
      <alignment horizontal="center" vertical="top" wrapText="1"/>
      <protection/>
    </xf>
    <xf numFmtId="0" fontId="92" fillId="19" borderId="122" xfId="54" applyFont="1" applyFill="1" applyBorder="1" applyAlignment="1">
      <alignment horizontal="center" vertical="top" wrapText="1"/>
      <protection/>
    </xf>
    <xf numFmtId="0" fontId="92" fillId="19" borderId="42" xfId="54" applyFont="1" applyFill="1" applyBorder="1" applyAlignment="1">
      <alignment horizontal="center" vertical="top" wrapText="1"/>
      <protection/>
    </xf>
    <xf numFmtId="0" fontId="92" fillId="19" borderId="0" xfId="54" applyFont="1" applyFill="1" applyBorder="1" applyAlignment="1">
      <alignment horizontal="center" vertical="top" wrapText="1"/>
      <protection/>
    </xf>
    <xf numFmtId="0" fontId="92" fillId="19" borderId="43" xfId="54" applyFont="1" applyFill="1" applyBorder="1" applyAlignment="1">
      <alignment horizontal="center" vertical="top" wrapText="1"/>
      <protection/>
    </xf>
    <xf numFmtId="0" fontId="93" fillId="0" borderId="0" xfId="54" applyFont="1" applyAlignment="1">
      <alignment horizontal="center" vertical="center"/>
      <protection/>
    </xf>
    <xf numFmtId="0" fontId="0" fillId="46" borderId="123" xfId="0" applyNumberFormat="1" applyFont="1" applyFill="1" applyBorder="1" applyAlignment="1">
      <alignment horizontal="center" vertical="top" wrapText="1"/>
    </xf>
    <xf numFmtId="0" fontId="0" fillId="46" borderId="0" xfId="0" applyNumberFormat="1" applyFont="1" applyFill="1" applyBorder="1" applyAlignment="1">
      <alignment horizontal="center" vertical="top" wrapText="1"/>
    </xf>
    <xf numFmtId="0" fontId="0" fillId="46" borderId="0" xfId="0" applyNumberFormat="1" applyFont="1" applyFill="1" applyBorder="1" applyAlignment="1">
      <alignment horizontal="left" vertical="center"/>
    </xf>
    <xf numFmtId="0" fontId="0" fillId="40" borderId="0" xfId="0" applyNumberFormat="1" applyFont="1" applyFill="1" applyBorder="1" applyAlignment="1">
      <alignment horizontal="left" vertical="center"/>
    </xf>
    <xf numFmtId="0" fontId="0" fillId="40" borderId="123" xfId="0" applyNumberFormat="1" applyFont="1" applyFill="1" applyBorder="1" applyAlignment="1">
      <alignment horizontal="center" vertical="center"/>
    </xf>
    <xf numFmtId="0" fontId="0" fillId="40" borderId="0" xfId="0" applyNumberFormat="1" applyFont="1" applyFill="1" applyBorder="1" applyAlignment="1">
      <alignment horizontal="center" vertical="center"/>
    </xf>
    <xf numFmtId="0" fontId="12" fillId="0" borderId="96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24" xfId="0" applyFont="1" applyBorder="1" applyAlignment="1">
      <alignment horizontal="center" vertical="top" wrapText="1"/>
    </xf>
    <xf numFmtId="0" fontId="7" fillId="0" borderId="9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4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50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50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textRotation="90" wrapText="1"/>
    </xf>
    <xf numFmtId="0" fontId="26" fillId="0" borderId="35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48" borderId="33" xfId="0" applyFont="1" applyFill="1" applyBorder="1" applyAlignment="1">
      <alignment horizontal="center" vertical="center" wrapText="1"/>
    </xf>
    <xf numFmtId="0" fontId="27" fillId="48" borderId="50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13" xfId="0" applyBorder="1" applyAlignment="1">
      <alignment horizontal="center" vertical="top" wrapText="1"/>
    </xf>
    <xf numFmtId="0" fontId="26" fillId="0" borderId="33" xfId="0" applyNumberFormat="1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/>
    </xf>
    <xf numFmtId="0" fontId="8" fillId="7" borderId="81" xfId="0" applyFont="1" applyFill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27" fillId="0" borderId="50" xfId="0" applyFont="1" applyBorder="1" applyAlignment="1">
      <alignment horizontal="center" vertical="center" wrapText="1"/>
    </xf>
    <xf numFmtId="21" fontId="27" fillId="0" borderId="33" xfId="0" applyNumberFormat="1" applyFont="1" applyBorder="1" applyAlignment="1">
      <alignment horizontal="center" vertical="center" wrapText="1"/>
    </xf>
    <xf numFmtId="21" fontId="27" fillId="0" borderId="35" xfId="0" applyNumberFormat="1" applyFont="1" applyBorder="1" applyAlignment="1">
      <alignment horizontal="center" vertical="center" wrapText="1"/>
    </xf>
    <xf numFmtId="21" fontId="27" fillId="0" borderId="50" xfId="0" applyNumberFormat="1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2" fontId="27" fillId="0" borderId="35" xfId="0" applyNumberFormat="1" applyFont="1" applyBorder="1" applyAlignment="1">
      <alignment horizontal="center" vertical="center" wrapText="1"/>
    </xf>
    <xf numFmtId="2" fontId="27" fillId="0" borderId="50" xfId="0" applyNumberFormat="1" applyFont="1" applyBorder="1" applyAlignment="1">
      <alignment horizontal="center" vertical="center" wrapText="1"/>
    </xf>
    <xf numFmtId="0" fontId="27" fillId="0" borderId="125" xfId="0" applyFont="1" applyBorder="1" applyAlignment="1">
      <alignment horizontal="center" vertical="center" wrapText="1"/>
    </xf>
    <xf numFmtId="0" fontId="27" fillId="0" borderId="127" xfId="0" applyFont="1" applyBorder="1" applyAlignment="1">
      <alignment horizontal="center" vertical="center" wrapText="1"/>
    </xf>
    <xf numFmtId="0" fontId="27" fillId="0" borderId="128" xfId="0" applyFont="1" applyBorder="1" applyAlignment="1">
      <alignment horizontal="center" vertical="center" wrapText="1"/>
    </xf>
    <xf numFmtId="0" fontId="27" fillId="37" borderId="33" xfId="0" applyFont="1" applyFill="1" applyBorder="1" applyAlignment="1">
      <alignment horizontal="center" vertical="center" wrapText="1"/>
    </xf>
    <xf numFmtId="0" fontId="27" fillId="37" borderId="50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50" xfId="0" applyFont="1" applyBorder="1" applyAlignment="1">
      <alignment horizontal="center" vertical="center" textRotation="90" wrapText="1"/>
    </xf>
    <xf numFmtId="0" fontId="75" fillId="19" borderId="129" xfId="54" applyFont="1" applyFill="1" applyBorder="1" applyAlignment="1">
      <alignment horizontal="center" vertical="center"/>
      <protection/>
    </xf>
    <xf numFmtId="0" fontId="75" fillId="19" borderId="83" xfId="54" applyFont="1" applyFill="1" applyBorder="1" applyAlignment="1">
      <alignment horizontal="center" vertical="center"/>
      <protection/>
    </xf>
    <xf numFmtId="0" fontId="75" fillId="19" borderId="130" xfId="54" applyFont="1" applyFill="1" applyBorder="1" applyAlignment="1">
      <alignment horizontal="center" vertical="center"/>
      <protection/>
    </xf>
    <xf numFmtId="0" fontId="75" fillId="19" borderId="131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7" fillId="37" borderId="33" xfId="0" applyFont="1" applyFill="1" applyBorder="1" applyAlignment="1">
      <alignment horizontal="center" vertical="center" textRotation="90" wrapText="1"/>
    </xf>
    <xf numFmtId="0" fontId="27" fillId="37" borderId="5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1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textRotation="90" wrapText="1"/>
    </xf>
    <xf numFmtId="0" fontId="33" fillId="0" borderId="33" xfId="0" applyFont="1" applyBorder="1" applyAlignment="1">
      <alignment horizontal="center" vertical="center" textRotation="90"/>
    </xf>
    <xf numFmtId="0" fontId="33" fillId="0" borderId="35" xfId="0" applyFont="1" applyBorder="1" applyAlignment="1">
      <alignment horizontal="center" vertical="center" textRotation="90"/>
    </xf>
    <xf numFmtId="0" fontId="33" fillId="0" borderId="50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48" borderId="35" xfId="0" applyFill="1" applyBorder="1" applyAlignment="1">
      <alignment horizontal="center" vertical="center" textRotation="90" wrapText="1"/>
    </xf>
    <xf numFmtId="0" fontId="0" fillId="48" borderId="11" xfId="0" applyFill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11" fillId="0" borderId="5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0" borderId="33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 wrapText="1"/>
    </xf>
    <xf numFmtId="0" fontId="26" fillId="0" borderId="126" xfId="0" applyFont="1" applyBorder="1" applyAlignment="1">
      <alignment horizontal="center" vertical="center" textRotation="90" wrapText="1"/>
    </xf>
    <xf numFmtId="0" fontId="26" fillId="0" borderId="113" xfId="0" applyFont="1" applyBorder="1" applyAlignment="1">
      <alignment horizontal="center" vertical="center" textRotation="90" wrapText="1"/>
    </xf>
    <xf numFmtId="0" fontId="26" fillId="0" borderId="51" xfId="0" applyFont="1" applyBorder="1" applyAlignment="1">
      <alignment horizontal="center" vertical="center" textRotation="90" wrapText="1"/>
    </xf>
    <xf numFmtId="0" fontId="33" fillId="0" borderId="33" xfId="0" applyFont="1" applyBorder="1" applyAlignment="1">
      <alignment horizontal="center" vertical="center" textRotation="90" wrapText="1"/>
    </xf>
    <xf numFmtId="0" fontId="33" fillId="0" borderId="35" xfId="0" applyFont="1" applyBorder="1" applyAlignment="1">
      <alignment horizontal="center" vertical="center" textRotation="90" wrapText="1"/>
    </xf>
    <xf numFmtId="0" fontId="33" fillId="0" borderId="50" xfId="0" applyFont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left" vertical="top" wrapText="1"/>
    </xf>
    <xf numFmtId="0" fontId="17" fillId="48" borderId="33" xfId="0" applyFont="1" applyFill="1" applyBorder="1" applyAlignment="1">
      <alignment horizontal="center" vertical="center" textRotation="90" wrapText="1"/>
    </xf>
    <xf numFmtId="0" fontId="17" fillId="48" borderId="35" xfId="0" applyFont="1" applyFill="1" applyBorder="1" applyAlignment="1">
      <alignment horizontal="center" vertical="center" textRotation="90" wrapText="1"/>
    </xf>
    <xf numFmtId="0" fontId="17" fillId="48" borderId="50" xfId="0" applyFont="1" applyFill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textRotation="90" wrapText="1"/>
    </xf>
    <xf numFmtId="0" fontId="0" fillId="0" borderId="126" xfId="0" applyBorder="1" applyAlignment="1">
      <alignment horizontal="center" vertical="center" textRotation="90" wrapText="1"/>
    </xf>
    <xf numFmtId="0" fontId="0" fillId="0" borderId="127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top" wrapText="1"/>
    </xf>
    <xf numFmtId="0" fontId="0" fillId="0" borderId="132" xfId="0" applyFont="1" applyBorder="1" applyAlignment="1">
      <alignment horizontal="center" vertical="top" wrapText="1"/>
    </xf>
    <xf numFmtId="0" fontId="0" fillId="0" borderId="113" xfId="0" applyFont="1" applyBorder="1" applyAlignment="1">
      <alignment horizontal="center" vertical="top" wrapText="1"/>
    </xf>
    <xf numFmtId="0" fontId="0" fillId="0" borderId="133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80" xfId="0" applyFont="1" applyBorder="1" applyAlignment="1">
      <alignment horizontal="center" vertical="center" textRotation="90" wrapText="1"/>
    </xf>
    <xf numFmtId="0" fontId="9" fillId="0" borderId="19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8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8">
    <dxf>
      <fill>
        <patternFill>
          <bgColor rgb="FFBFBFBF"/>
        </patternFill>
      </fill>
    </dxf>
    <dxf>
      <fill>
        <patternFill>
          <bgColor rgb="FFFF3200"/>
        </patternFill>
      </fill>
    </dxf>
    <dxf>
      <fill>
        <patternFill>
          <bgColor rgb="FFBFBFBF"/>
        </patternFill>
      </fill>
    </dxf>
    <dxf>
      <fill>
        <patternFill>
          <bgColor rgb="FFFF3200"/>
        </patternFill>
      </fill>
    </dxf>
    <dxf>
      <fill>
        <patternFill>
          <bgColor rgb="FFBFBFBF"/>
        </patternFill>
      </fill>
    </dxf>
    <dxf>
      <fill>
        <patternFill>
          <bgColor rgb="FFFF3200"/>
        </patternFill>
      </fill>
    </dxf>
    <dxf>
      <fill>
        <patternFill>
          <bgColor rgb="FFC8FF96"/>
        </patternFill>
      </fill>
    </dxf>
    <dxf>
      <fill>
        <patternFill>
          <bgColor rgb="FFBFBFBF"/>
        </patternFill>
      </fill>
    </dxf>
    <dxf>
      <fill>
        <patternFill>
          <bgColor rgb="FFFF3200"/>
        </patternFill>
      </fill>
    </dxf>
    <dxf>
      <fill>
        <patternFill>
          <bgColor rgb="FFBFBFBF"/>
        </patternFill>
      </fill>
    </dxf>
    <dxf>
      <fill>
        <patternFill>
          <bgColor rgb="FFFF3200"/>
        </patternFill>
      </fill>
    </dxf>
    <dxf>
      <fill>
        <patternFill>
          <bgColor rgb="FFBFBFBF"/>
        </patternFill>
      </fill>
    </dxf>
    <dxf>
      <fill>
        <patternFill>
          <bgColor rgb="FFFF3200"/>
        </patternFill>
      </fill>
    </dxf>
    <dxf>
      <fill>
        <patternFill>
          <bgColor rgb="FFBFBFBF"/>
        </patternFill>
      </fill>
    </dxf>
    <dxf>
      <fill>
        <patternFill>
          <bgColor rgb="FFFF3200"/>
        </patternFill>
      </fill>
    </dxf>
    <dxf>
      <fill>
        <patternFill>
          <bgColor rgb="FFBFBFBF"/>
        </patternFill>
      </fill>
    </dxf>
    <dxf>
      <fill>
        <patternFill>
          <bgColor rgb="FFFF3200"/>
        </patternFill>
      </fill>
    </dxf>
    <dxf>
      <fill>
        <patternFill>
          <bgColor rgb="FFBFBFB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L5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125" style="0" customWidth="1"/>
    <col min="3" max="7" width="9.00390625" style="0" customWidth="1"/>
    <col min="8" max="8" width="9.125" style="0" customWidth="1"/>
    <col min="9" max="12" width="9.00390625" style="0" customWidth="1"/>
  </cols>
  <sheetData>
    <row r="1" spans="2:12" ht="54.75" customHeight="1" thickTop="1">
      <c r="B1" s="422" t="s">
        <v>267</v>
      </c>
      <c r="C1" s="422"/>
      <c r="D1" s="422"/>
      <c r="E1" s="422"/>
      <c r="F1" s="422"/>
      <c r="G1" s="422"/>
      <c r="I1" s="433" t="s">
        <v>145</v>
      </c>
      <c r="J1" s="434"/>
      <c r="K1" s="434"/>
      <c r="L1" s="435"/>
    </row>
    <row r="2" spans="9:12" ht="15" customHeight="1">
      <c r="I2" s="436"/>
      <c r="J2" s="437"/>
      <c r="K2" s="437"/>
      <c r="L2" s="438"/>
    </row>
    <row r="3" spans="2:12" ht="14.25" customHeight="1">
      <c r="B3" s="439" t="s">
        <v>268</v>
      </c>
      <c r="C3" s="439"/>
      <c r="D3" s="439"/>
      <c r="E3" s="439"/>
      <c r="F3" s="439"/>
      <c r="G3" s="439"/>
      <c r="I3" s="109"/>
      <c r="J3" s="110"/>
      <c r="K3" s="110"/>
      <c r="L3" s="111"/>
    </row>
    <row r="4" spans="7:12" ht="14.25" customHeight="1" thickBot="1">
      <c r="G4" s="101" t="s">
        <v>269</v>
      </c>
      <c r="I4" s="112"/>
      <c r="J4" s="113"/>
      <c r="K4" s="113"/>
      <c r="L4" s="114"/>
    </row>
    <row r="5" spans="2:12" ht="38.25" customHeight="1" thickBot="1" thickTop="1">
      <c r="B5" s="424" t="s">
        <v>270</v>
      </c>
      <c r="C5" s="426" t="s">
        <v>118</v>
      </c>
      <c r="D5" s="427"/>
      <c r="E5" s="427"/>
      <c r="F5" s="427"/>
      <c r="G5" s="428"/>
      <c r="I5" s="429" t="s">
        <v>120</v>
      </c>
      <c r="J5" s="430"/>
      <c r="K5" s="320" t="s">
        <v>271</v>
      </c>
      <c r="L5" s="115" t="s">
        <v>122</v>
      </c>
    </row>
    <row r="6" spans="2:12" ht="38.25" customHeight="1" thickBot="1">
      <c r="B6" s="425"/>
      <c r="C6" s="116" t="s">
        <v>104</v>
      </c>
      <c r="D6" s="116" t="s">
        <v>93</v>
      </c>
      <c r="E6" s="116" t="s">
        <v>95</v>
      </c>
      <c r="F6" s="117" t="s">
        <v>116</v>
      </c>
      <c r="G6" s="116" t="s">
        <v>117</v>
      </c>
      <c r="I6" s="431" t="s">
        <v>112</v>
      </c>
      <c r="J6" s="432"/>
      <c r="K6" s="118">
        <v>246.7</v>
      </c>
      <c r="L6" s="119"/>
    </row>
    <row r="7" spans="2:12" ht="14.25" customHeight="1" thickBot="1">
      <c r="B7" s="120">
        <v>1</v>
      </c>
      <c r="C7" s="121">
        <v>2</v>
      </c>
      <c r="D7" s="121">
        <v>3</v>
      </c>
      <c r="E7" s="121">
        <v>4</v>
      </c>
      <c r="F7" s="121">
        <v>5</v>
      </c>
      <c r="G7" s="121">
        <v>7</v>
      </c>
      <c r="I7" s="122"/>
      <c r="J7" s="123">
        <f>VLOOKUP($K$6,$B$8:$G$41,1,TRUE)</f>
        <v>200</v>
      </c>
      <c r="K7" s="124">
        <f>K6</f>
        <v>246.7</v>
      </c>
      <c r="L7" s="125">
        <f>INDEX($B$8:$G$41,MATCH($K$6,$B$8:$B$40,1)+1,1)</f>
        <v>250</v>
      </c>
    </row>
    <row r="8" spans="2:12" ht="19.5" thickBot="1">
      <c r="B8" s="126">
        <v>0</v>
      </c>
      <c r="C8" s="127" t="s">
        <v>119</v>
      </c>
      <c r="D8" s="127" t="s">
        <v>119</v>
      </c>
      <c r="E8" s="127" t="s">
        <v>119</v>
      </c>
      <c r="F8" s="127">
        <v>100</v>
      </c>
      <c r="G8" s="127">
        <v>111</v>
      </c>
      <c r="I8" s="128" t="s">
        <v>104</v>
      </c>
      <c r="J8" s="123">
        <f>VLOOKUP($K$6,$B$8:$G$41,2,TRUE)</f>
        <v>100</v>
      </c>
      <c r="K8" s="129">
        <f>IF(OR($K$6&lt;200,$K$5="I",$K$5="II",$K$5="III",ISERROR(J8+(L8-J8)/($L$7-$J$7)*($K$7-$J$7))),"—",J8+(L8-J8)/($L$7-$J$7)*($K$7-$J$7))</f>
        <v>101.868</v>
      </c>
      <c r="L8" s="125">
        <f>VLOOKUP($L$7,$B$8:$G$41,2,TRUE)</f>
        <v>102</v>
      </c>
    </row>
    <row r="9" spans="2:12" ht="19.5" thickBot="1">
      <c r="B9" s="126">
        <v>1</v>
      </c>
      <c r="C9" s="127" t="s">
        <v>119</v>
      </c>
      <c r="D9" s="127" t="s">
        <v>119</v>
      </c>
      <c r="E9" s="127" t="s">
        <v>119</v>
      </c>
      <c r="F9" s="127">
        <v>102</v>
      </c>
      <c r="G9" s="127">
        <v>114</v>
      </c>
      <c r="I9" s="128" t="s">
        <v>93</v>
      </c>
      <c r="J9" s="123">
        <f>VLOOKUP($K$6,$B$8:$G$41,3,TRUE)</f>
        <v>114</v>
      </c>
      <c r="K9" s="129">
        <f>IF(OR($K$5="I",$K$5="II",ISERROR(J9+(L9-J9)/($L$7-$J$7)*($K$7-$J$7))),"—",J9+(L9-J9)/($L$7-$J$7)*($K$7-$J$7))</f>
        <v>116.80199999999999</v>
      </c>
      <c r="L9" s="125">
        <f>VLOOKUP($L$7,$B$8:$G$41,3,TRUE)</f>
        <v>117</v>
      </c>
    </row>
    <row r="10" spans="2:12" ht="19.5" thickBot="1">
      <c r="B10" s="126">
        <v>2</v>
      </c>
      <c r="C10" s="127" t="s">
        <v>119</v>
      </c>
      <c r="D10" s="127" t="s">
        <v>119</v>
      </c>
      <c r="E10" s="127" t="s">
        <v>119</v>
      </c>
      <c r="F10" s="127">
        <v>105</v>
      </c>
      <c r="G10" s="127">
        <v>117</v>
      </c>
      <c r="I10" s="128" t="s">
        <v>95</v>
      </c>
      <c r="J10" s="123">
        <f>VLOOKUP($K$6,$B$8:$G$41,4,TRUE)</f>
        <v>132</v>
      </c>
      <c r="K10" s="129">
        <f>IF(OR($K$5="I",ISERROR(J10+(L10-J10)/($L$7-$J$7)*($K$7-$J$7))),"—",J10+(L10-J10)/($L$7-$J$7)*($K$7-$J$7))</f>
        <v>134.802</v>
      </c>
      <c r="L10" s="125">
        <f>VLOOKUP($L$7,$B$8:$G$41,4,TRUE)</f>
        <v>135</v>
      </c>
    </row>
    <row r="11" spans="2:12" ht="19.5" thickBot="1">
      <c r="B11" s="126">
        <v>3</v>
      </c>
      <c r="C11" s="127" t="s">
        <v>119</v>
      </c>
      <c r="D11" s="127" t="s">
        <v>119</v>
      </c>
      <c r="E11" s="127" t="s">
        <v>119</v>
      </c>
      <c r="F11" s="127">
        <v>108</v>
      </c>
      <c r="G11" s="127">
        <v>120</v>
      </c>
      <c r="I11" s="128" t="s">
        <v>94</v>
      </c>
      <c r="J11" s="123">
        <f>VLOOKUP($K$6,$B$8:$G$41,5,TRUE)</f>
        <v>170</v>
      </c>
      <c r="K11" s="129">
        <f>IF(ISERROR(J11+(L11-J11)/($L$7-$J$7)*($K$7-$J$7)),"—",J11+(L11-J11)/($L$7-$J$7)*($K$7-$J$7))</f>
        <v>173.736</v>
      </c>
      <c r="L11" s="125">
        <f>VLOOKUP($L$7,$B$8:$G$41,5,TRUE)</f>
        <v>174</v>
      </c>
    </row>
    <row r="12" spans="2:12" ht="19.5" thickBot="1">
      <c r="B12" s="126">
        <v>4</v>
      </c>
      <c r="C12" s="127" t="s">
        <v>119</v>
      </c>
      <c r="D12" s="127" t="s">
        <v>119</v>
      </c>
      <c r="E12" s="127" t="s">
        <v>119</v>
      </c>
      <c r="F12" s="127">
        <v>111</v>
      </c>
      <c r="G12" s="127">
        <v>123</v>
      </c>
      <c r="I12" s="128" t="s">
        <v>123</v>
      </c>
      <c r="J12" s="123">
        <f>VLOOKUP($K$6,$B$8:$G$41,5,TRUE)</f>
        <v>170</v>
      </c>
      <c r="K12" s="129">
        <f>IF(ISERROR(J12+(L12-J12)/($L$7-$J$7)*($K$7-$J$7)),"—",J12+(L12-J12)/($L$7-$J$7)*($K$7-$J$7))</f>
        <v>173.736</v>
      </c>
      <c r="L12" s="125">
        <f>VLOOKUP($L$7,$B$8:$G$41,5,TRUE)</f>
        <v>174</v>
      </c>
    </row>
    <row r="13" spans="2:12" ht="19.5" thickBot="1">
      <c r="B13" s="126">
        <v>5</v>
      </c>
      <c r="C13" s="127" t="s">
        <v>119</v>
      </c>
      <c r="D13" s="127" t="s">
        <v>119</v>
      </c>
      <c r="E13" s="127" t="s">
        <v>119</v>
      </c>
      <c r="F13" s="127">
        <v>114</v>
      </c>
      <c r="G13" s="127">
        <v>129</v>
      </c>
      <c r="I13" s="130" t="s">
        <v>124</v>
      </c>
      <c r="J13" s="131" t="str">
        <f>VLOOKUP($K$6,$B$8:$G$41,6,TRUE)</f>
        <v>-</v>
      </c>
      <c r="K13" s="132" t="str">
        <f>IF(ISERROR(J13+(L13-J13)/($L$7-$J$7)*($K$7-$J$7)),"—",J13+(L13-J13)/($L$7-$J$7)*($K$7-$J$7))</f>
        <v>—</v>
      </c>
      <c r="L13" s="133" t="str">
        <f>VLOOKUP($L$7,$B$8:$G$41,6,TRUE)</f>
        <v>-</v>
      </c>
    </row>
    <row r="14" spans="2:7" ht="19.5" thickBot="1">
      <c r="B14" s="126">
        <v>6</v>
      </c>
      <c r="C14" s="127" t="s">
        <v>119</v>
      </c>
      <c r="D14" s="127" t="s">
        <v>119</v>
      </c>
      <c r="E14" s="127" t="s">
        <v>119</v>
      </c>
      <c r="F14" s="127">
        <v>117</v>
      </c>
      <c r="G14" s="127">
        <v>132</v>
      </c>
    </row>
    <row r="15" spans="2:7" ht="19.5" thickBot="1">
      <c r="B15" s="126">
        <v>8</v>
      </c>
      <c r="C15" s="127" t="s">
        <v>119</v>
      </c>
      <c r="D15" s="127" t="s">
        <v>119</v>
      </c>
      <c r="E15" s="127" t="s">
        <v>119</v>
      </c>
      <c r="F15" s="127">
        <v>120</v>
      </c>
      <c r="G15" s="127">
        <v>135</v>
      </c>
    </row>
    <row r="16" spans="2:7" ht="19.5" thickBot="1">
      <c r="B16" s="126">
        <v>10</v>
      </c>
      <c r="C16" s="127" t="s">
        <v>119</v>
      </c>
      <c r="D16" s="127" t="s">
        <v>119</v>
      </c>
      <c r="E16" s="127" t="s">
        <v>119</v>
      </c>
      <c r="F16" s="127">
        <v>123</v>
      </c>
      <c r="G16" s="127">
        <v>138</v>
      </c>
    </row>
    <row r="17" spans="2:7" ht="19.5" thickBot="1">
      <c r="B17" s="126">
        <v>13</v>
      </c>
      <c r="C17" s="127" t="s">
        <v>119</v>
      </c>
      <c r="D17" s="127" t="s">
        <v>119</v>
      </c>
      <c r="E17" s="127" t="s">
        <v>119</v>
      </c>
      <c r="F17" s="127">
        <v>126</v>
      </c>
      <c r="G17" s="127">
        <v>142</v>
      </c>
    </row>
    <row r="18" spans="2:7" ht="19.5" thickBot="1">
      <c r="B18" s="126">
        <v>16</v>
      </c>
      <c r="C18" s="127" t="s">
        <v>119</v>
      </c>
      <c r="D18" s="127" t="s">
        <v>119</v>
      </c>
      <c r="E18" s="127">
        <v>100</v>
      </c>
      <c r="F18" s="127">
        <v>129</v>
      </c>
      <c r="G18" s="127">
        <v>146</v>
      </c>
    </row>
    <row r="19" spans="2:7" ht="19.5" thickBot="1">
      <c r="B19" s="126">
        <v>20</v>
      </c>
      <c r="C19" s="127" t="s">
        <v>119</v>
      </c>
      <c r="D19" s="127" t="s">
        <v>119</v>
      </c>
      <c r="E19" s="127">
        <v>102</v>
      </c>
      <c r="F19" s="127">
        <v>132</v>
      </c>
      <c r="G19" s="127">
        <v>150</v>
      </c>
    </row>
    <row r="20" spans="2:7" ht="19.5" thickBot="1">
      <c r="B20" s="126">
        <v>25</v>
      </c>
      <c r="C20" s="127" t="s">
        <v>119</v>
      </c>
      <c r="D20" s="127" t="s">
        <v>119</v>
      </c>
      <c r="E20" s="127">
        <v>105</v>
      </c>
      <c r="F20" s="127">
        <v>135</v>
      </c>
      <c r="G20" s="127">
        <v>154</v>
      </c>
    </row>
    <row r="21" spans="2:7" ht="19.5" thickBot="1">
      <c r="B21" s="126">
        <v>32</v>
      </c>
      <c r="C21" s="127" t="s">
        <v>119</v>
      </c>
      <c r="D21" s="127" t="s">
        <v>119</v>
      </c>
      <c r="E21" s="127">
        <v>108</v>
      </c>
      <c r="F21" s="127">
        <v>138</v>
      </c>
      <c r="G21" s="127">
        <v>158</v>
      </c>
    </row>
    <row r="22" spans="2:7" ht="19.5" thickBot="1">
      <c r="B22" s="126">
        <v>40</v>
      </c>
      <c r="C22" s="127" t="s">
        <v>119</v>
      </c>
      <c r="D22" s="127" t="s">
        <v>119</v>
      </c>
      <c r="E22" s="127">
        <v>111</v>
      </c>
      <c r="F22" s="127">
        <v>142</v>
      </c>
      <c r="G22" s="127">
        <v>162</v>
      </c>
    </row>
    <row r="23" spans="2:7" ht="19.5" thickBot="1">
      <c r="B23" s="126">
        <v>50</v>
      </c>
      <c r="C23" s="127" t="s">
        <v>119</v>
      </c>
      <c r="D23" s="127" t="s">
        <v>119</v>
      </c>
      <c r="E23" s="127">
        <v>114</v>
      </c>
      <c r="F23" s="127">
        <v>146</v>
      </c>
      <c r="G23" s="127">
        <v>166</v>
      </c>
    </row>
    <row r="24" spans="2:7" ht="19.5" thickBot="1">
      <c r="B24" s="126">
        <v>63</v>
      </c>
      <c r="C24" s="127" t="s">
        <v>119</v>
      </c>
      <c r="D24" s="127">
        <v>100</v>
      </c>
      <c r="E24" s="127">
        <v>117</v>
      </c>
      <c r="F24" s="127">
        <v>150</v>
      </c>
      <c r="G24" s="127" t="s">
        <v>119</v>
      </c>
    </row>
    <row r="25" spans="2:7" ht="19.5" thickBot="1">
      <c r="B25" s="126">
        <v>80</v>
      </c>
      <c r="C25" s="127" t="s">
        <v>119</v>
      </c>
      <c r="D25" s="127">
        <v>102</v>
      </c>
      <c r="E25" s="127">
        <v>120</v>
      </c>
      <c r="F25" s="127">
        <v>154</v>
      </c>
      <c r="G25" s="127" t="s">
        <v>119</v>
      </c>
    </row>
    <row r="26" spans="2:7" ht="19.5" thickBot="1">
      <c r="B26" s="126">
        <v>100</v>
      </c>
      <c r="C26" s="127" t="s">
        <v>119</v>
      </c>
      <c r="D26" s="127">
        <v>105</v>
      </c>
      <c r="E26" s="127">
        <v>123</v>
      </c>
      <c r="F26" s="127">
        <v>158</v>
      </c>
      <c r="G26" s="127" t="s">
        <v>119</v>
      </c>
    </row>
    <row r="27" spans="2:7" ht="19.5" thickBot="1">
      <c r="B27" s="126">
        <v>125</v>
      </c>
      <c r="C27" s="127" t="s">
        <v>119</v>
      </c>
      <c r="D27" s="127">
        <v>108</v>
      </c>
      <c r="E27" s="127">
        <v>126</v>
      </c>
      <c r="F27" s="127">
        <v>162</v>
      </c>
      <c r="G27" s="127" t="s">
        <v>119</v>
      </c>
    </row>
    <row r="28" spans="2:7" ht="19.5" thickBot="1">
      <c r="B28" s="126">
        <v>160</v>
      </c>
      <c r="C28" s="127" t="s">
        <v>119</v>
      </c>
      <c r="D28" s="127">
        <v>111</v>
      </c>
      <c r="E28" s="127">
        <v>129</v>
      </c>
      <c r="F28" s="127">
        <v>166</v>
      </c>
      <c r="G28" s="127" t="s">
        <v>119</v>
      </c>
    </row>
    <row r="29" spans="2:7" ht="19.5" thickBot="1">
      <c r="B29" s="126">
        <v>200</v>
      </c>
      <c r="C29" s="127">
        <v>100</v>
      </c>
      <c r="D29" s="127">
        <v>114</v>
      </c>
      <c r="E29" s="127">
        <v>132</v>
      </c>
      <c r="F29" s="127">
        <v>170</v>
      </c>
      <c r="G29" s="127" t="s">
        <v>119</v>
      </c>
    </row>
    <row r="30" spans="2:7" ht="19.5" thickBot="1">
      <c r="B30" s="126">
        <v>250</v>
      </c>
      <c r="C30" s="127">
        <v>102</v>
      </c>
      <c r="D30" s="127">
        <v>117</v>
      </c>
      <c r="E30" s="127">
        <v>135</v>
      </c>
      <c r="F30" s="127">
        <v>174</v>
      </c>
      <c r="G30" s="127" t="s">
        <v>119</v>
      </c>
    </row>
    <row r="31" spans="2:7" ht="19.5" thickBot="1">
      <c r="B31" s="126">
        <v>320</v>
      </c>
      <c r="C31" s="127">
        <v>105</v>
      </c>
      <c r="D31" s="127">
        <v>120</v>
      </c>
      <c r="E31" s="127">
        <v>138</v>
      </c>
      <c r="F31" s="127">
        <v>178</v>
      </c>
      <c r="G31" s="127" t="s">
        <v>119</v>
      </c>
    </row>
    <row r="32" spans="2:7" ht="19.5" thickBot="1">
      <c r="B32" s="126">
        <v>400</v>
      </c>
      <c r="C32" s="127">
        <v>108</v>
      </c>
      <c r="D32" s="127">
        <v>123</v>
      </c>
      <c r="E32" s="127">
        <v>142</v>
      </c>
      <c r="F32" s="127">
        <v>182</v>
      </c>
      <c r="G32" s="127" t="s">
        <v>119</v>
      </c>
    </row>
    <row r="33" spans="2:7" ht="19.5" thickBot="1">
      <c r="B33" s="126">
        <v>500</v>
      </c>
      <c r="C33" s="127">
        <v>111</v>
      </c>
      <c r="D33" s="127">
        <v>126</v>
      </c>
      <c r="E33" s="127">
        <v>146</v>
      </c>
      <c r="F33" s="127">
        <v>186</v>
      </c>
      <c r="G33" s="127" t="s">
        <v>119</v>
      </c>
    </row>
    <row r="34" spans="2:7" ht="19.5" thickBot="1">
      <c r="B34" s="126">
        <v>630</v>
      </c>
      <c r="C34" s="127">
        <v>114</v>
      </c>
      <c r="D34" s="127">
        <v>129</v>
      </c>
      <c r="E34" s="127">
        <v>150</v>
      </c>
      <c r="F34" s="127" t="s">
        <v>119</v>
      </c>
      <c r="G34" s="127" t="s">
        <v>119</v>
      </c>
    </row>
    <row r="35" spans="2:7" ht="19.5" thickBot="1">
      <c r="B35" s="126">
        <v>800</v>
      </c>
      <c r="C35" s="127">
        <v>117</v>
      </c>
      <c r="D35" s="127">
        <v>132</v>
      </c>
      <c r="E35" s="127">
        <v>154</v>
      </c>
      <c r="F35" s="127" t="s">
        <v>119</v>
      </c>
      <c r="G35" s="127" t="s">
        <v>119</v>
      </c>
    </row>
    <row r="36" spans="2:7" ht="19.5" thickBot="1">
      <c r="B36" s="126">
        <v>1000</v>
      </c>
      <c r="C36" s="127">
        <v>120</v>
      </c>
      <c r="D36" s="127">
        <v>135</v>
      </c>
      <c r="E36" s="127">
        <v>158</v>
      </c>
      <c r="F36" s="127" t="s">
        <v>119</v>
      </c>
      <c r="G36" s="127" t="s">
        <v>119</v>
      </c>
    </row>
    <row r="37" spans="2:7" ht="19.5" thickBot="1">
      <c r="B37" s="126">
        <v>1250</v>
      </c>
      <c r="C37" s="127">
        <v>123</v>
      </c>
      <c r="D37" s="127">
        <v>138</v>
      </c>
      <c r="E37" s="127">
        <v>162</v>
      </c>
      <c r="F37" s="127" t="s">
        <v>119</v>
      </c>
      <c r="G37" s="127" t="s">
        <v>119</v>
      </c>
    </row>
    <row r="38" spans="2:7" ht="19.5" thickBot="1">
      <c r="B38" s="126">
        <v>1600</v>
      </c>
      <c r="C38" s="127">
        <v>126</v>
      </c>
      <c r="D38" s="127">
        <v>142</v>
      </c>
      <c r="E38" s="127">
        <v>166</v>
      </c>
      <c r="F38" s="127" t="s">
        <v>119</v>
      </c>
      <c r="G38" s="127" t="s">
        <v>119</v>
      </c>
    </row>
    <row r="39" spans="2:7" ht="19.5" thickBot="1">
      <c r="B39" s="126">
        <v>2000</v>
      </c>
      <c r="C39" s="127">
        <v>129</v>
      </c>
      <c r="D39" s="127">
        <v>146</v>
      </c>
      <c r="E39" s="127">
        <v>172</v>
      </c>
      <c r="F39" s="127" t="s">
        <v>119</v>
      </c>
      <c r="G39" s="127" t="s">
        <v>119</v>
      </c>
    </row>
    <row r="40" spans="2:7" ht="19.5" thickBot="1">
      <c r="B40" s="126">
        <v>2400</v>
      </c>
      <c r="C40" s="127">
        <v>132</v>
      </c>
      <c r="D40" s="127">
        <v>150</v>
      </c>
      <c r="E40" s="127">
        <v>176</v>
      </c>
      <c r="F40" s="127" t="s">
        <v>119</v>
      </c>
      <c r="G40" s="127" t="s">
        <v>119</v>
      </c>
    </row>
    <row r="41" spans="2:12" ht="66" customHeight="1" thickBot="1">
      <c r="B41" s="134">
        <v>2600</v>
      </c>
      <c r="C41" s="135">
        <v>140</v>
      </c>
      <c r="D41" s="135">
        <v>160</v>
      </c>
      <c r="E41" s="135">
        <v>180</v>
      </c>
      <c r="F41" s="135" t="s">
        <v>119</v>
      </c>
      <c r="G41" s="135" t="s">
        <v>119</v>
      </c>
      <c r="H41" s="349" t="s">
        <v>272</v>
      </c>
      <c r="I41" s="46"/>
      <c r="J41" s="46"/>
      <c r="K41" s="46"/>
      <c r="L41" s="46"/>
    </row>
    <row r="43" spans="2:8" ht="67.5" customHeight="1">
      <c r="B43" s="422" t="s">
        <v>281</v>
      </c>
      <c r="C43" s="422"/>
      <c r="D43" s="422"/>
      <c r="E43" s="422"/>
      <c r="F43" s="422"/>
      <c r="G43" s="422"/>
      <c r="H43" s="422"/>
    </row>
    <row r="44" spans="2:8" ht="55.5" customHeight="1">
      <c r="B44" s="422" t="s">
        <v>282</v>
      </c>
      <c r="C44" s="422"/>
      <c r="D44" s="422"/>
      <c r="E44" s="422"/>
      <c r="F44" s="422"/>
      <c r="G44" s="422"/>
      <c r="H44" s="422"/>
    </row>
    <row r="45" spans="2:8" ht="44.25" customHeight="1">
      <c r="B45" s="422" t="s">
        <v>283</v>
      </c>
      <c r="C45" s="422"/>
      <c r="D45" s="422"/>
      <c r="E45" s="422"/>
      <c r="F45" s="422"/>
      <c r="G45" s="422"/>
      <c r="H45" s="422"/>
    </row>
    <row r="46" spans="2:8" ht="56.25" customHeight="1">
      <c r="B46" s="422" t="s">
        <v>284</v>
      </c>
      <c r="C46" s="422"/>
      <c r="D46" s="422"/>
      <c r="E46" s="422"/>
      <c r="F46" s="422"/>
      <c r="G46" s="422"/>
      <c r="H46" s="422"/>
    </row>
    <row r="47" spans="2:8" ht="51.75" customHeight="1">
      <c r="B47" s="423" t="s">
        <v>273</v>
      </c>
      <c r="C47" s="423"/>
      <c r="D47" s="423"/>
      <c r="E47" s="423"/>
      <c r="F47" s="423"/>
      <c r="G47" s="423"/>
      <c r="H47" s="423"/>
    </row>
    <row r="48" spans="2:8" ht="45" customHeight="1">
      <c r="B48" s="422" t="s">
        <v>274</v>
      </c>
      <c r="C48" s="422"/>
      <c r="D48" s="422"/>
      <c r="E48" s="422"/>
      <c r="F48" s="422"/>
      <c r="G48" s="422"/>
      <c r="H48" s="422"/>
    </row>
    <row r="49" spans="2:8" ht="19.5" customHeight="1">
      <c r="B49" s="422" t="s">
        <v>275</v>
      </c>
      <c r="C49" s="422"/>
      <c r="D49" s="422"/>
      <c r="E49" s="422"/>
      <c r="F49" s="422"/>
      <c r="G49" s="422"/>
      <c r="H49" s="422"/>
    </row>
    <row r="50" spans="2:8" ht="44.25" customHeight="1">
      <c r="B50" s="422" t="s">
        <v>276</v>
      </c>
      <c r="C50" s="422"/>
      <c r="D50" s="422"/>
      <c r="E50" s="422"/>
      <c r="F50" s="422"/>
      <c r="G50" s="422"/>
      <c r="H50" s="422"/>
    </row>
    <row r="51" spans="2:8" ht="43.5" customHeight="1">
      <c r="B51" s="422" t="s">
        <v>277</v>
      </c>
      <c r="C51" s="422"/>
      <c r="D51" s="422"/>
      <c r="E51" s="422"/>
      <c r="F51" s="422"/>
      <c r="G51" s="422"/>
      <c r="H51" s="422"/>
    </row>
    <row r="52" spans="2:8" ht="30.75" customHeight="1">
      <c r="B52" s="422" t="s">
        <v>278</v>
      </c>
      <c r="C52" s="422"/>
      <c r="D52" s="422"/>
      <c r="E52" s="422"/>
      <c r="F52" s="422"/>
      <c r="G52" s="422"/>
      <c r="H52" s="422"/>
    </row>
    <row r="53" spans="2:8" ht="43.5" customHeight="1">
      <c r="B53" s="422" t="s">
        <v>279</v>
      </c>
      <c r="C53" s="422"/>
      <c r="D53" s="422"/>
      <c r="E53" s="422"/>
      <c r="F53" s="422"/>
      <c r="G53" s="422"/>
      <c r="H53" s="422"/>
    </row>
    <row r="54" spans="2:8" ht="30.75" customHeight="1">
      <c r="B54" s="422" t="s">
        <v>280</v>
      </c>
      <c r="C54" s="422"/>
      <c r="D54" s="422"/>
      <c r="E54" s="422"/>
      <c r="F54" s="422"/>
      <c r="G54" s="422"/>
      <c r="H54" s="422"/>
    </row>
  </sheetData>
  <sheetProtection/>
  <mergeCells count="19">
    <mergeCell ref="B1:G1"/>
    <mergeCell ref="B5:B6"/>
    <mergeCell ref="C5:G5"/>
    <mergeCell ref="I5:J5"/>
    <mergeCell ref="I6:J6"/>
    <mergeCell ref="I1:L2"/>
    <mergeCell ref="B3:G3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</mergeCells>
  <printOptions/>
  <pageMargins left="0.7" right="0.7" top="0.75" bottom="0.75" header="0.3" footer="0.3"/>
  <pageSetup horizontalDpi="200" verticalDpi="2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C50"/>
  <sheetViews>
    <sheetView view="pageBreakPreview" zoomScale="80" zoomScaleSheetLayoutView="80" zoomScalePageLayoutView="0" workbookViewId="0" topLeftCell="A21">
      <selection activeCell="A31" sqref="A31:IV40"/>
    </sheetView>
  </sheetViews>
  <sheetFormatPr defaultColWidth="9.00390625" defaultRowHeight="12.75"/>
  <cols>
    <col min="1" max="2" width="5.75390625" style="3" customWidth="1"/>
    <col min="3" max="3" width="3.875" style="3" customWidth="1"/>
    <col min="4" max="4" width="31.00390625" style="3" customWidth="1"/>
    <col min="5" max="6" width="7.00390625" style="3" customWidth="1"/>
    <col min="7" max="7" width="9.875" style="3" customWidth="1"/>
    <col min="8" max="13" width="7.00390625" style="3" customWidth="1"/>
    <col min="14" max="14" width="9.875" style="3" customWidth="1"/>
    <col min="15" max="17" width="7.00390625" style="3" customWidth="1"/>
    <col min="18" max="18" width="7.00390625" style="3" hidden="1" customWidth="1"/>
    <col min="19" max="20" width="9.875" style="3" hidden="1" customWidth="1"/>
    <col min="21" max="21" width="10.125" style="3" customWidth="1"/>
    <col min="22" max="22" width="8.25390625" style="3" customWidth="1"/>
    <col min="23" max="24" width="10.125" style="3" customWidth="1"/>
    <col min="25" max="25" width="10.00390625" style="3" customWidth="1"/>
    <col min="26" max="26" width="9.125" style="3" customWidth="1"/>
    <col min="27" max="27" width="10.875" style="3" customWidth="1"/>
    <col min="28" max="16384" width="9.125" style="3" customWidth="1"/>
  </cols>
  <sheetData>
    <row r="1" spans="3:27" ht="18" customHeight="1">
      <c r="C1" s="543" t="str">
        <f>'Іменні заявки'!C1</f>
        <v>Департамент освіти і науки Хмельницької обласної державної адміністрації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</row>
    <row r="2" spans="3:27" ht="18" customHeight="1">
      <c r="C2" s="543" t="str">
        <f>'Іменні заявки'!C2</f>
        <v>ХМЕЛЬНИЦЬКИЙ ОБЛАСНИЙ ЦЕНТР ТУРИЗМУ І КРАЄЗНАВСТВА УЧНІВСЬКОЇ МОЛОДІ</v>
      </c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</row>
    <row r="3" spans="3:27" ht="18" customHeight="1">
      <c r="C3" s="544" t="str">
        <f>'Іменні заявки'!C3</f>
        <v>Чемпіонат області серед працівників закладів освіти з пішохідного туризму "Листопад-2015"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</row>
    <row r="4" spans="3:27" ht="6.75" customHeight="1"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</row>
    <row r="5" spans="3:29" ht="16.5" customHeight="1">
      <c r="C5" s="300" t="s">
        <v>336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Z5" s="364" t="str">
        <f>'Іменні заявки'!C4</f>
        <v>ур.Новики Старокостянтинівського р-ну</v>
      </c>
      <c r="AC5" s="302">
        <v>0.00034722222222222224</v>
      </c>
    </row>
    <row r="6" spans="3:29" ht="14.25" customHeight="1">
      <c r="C6" s="528" t="s">
        <v>252</v>
      </c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/>
      <c r="AB6"/>
      <c r="AC6"/>
    </row>
    <row r="7" ht="6" customHeight="1"/>
    <row r="8" spans="3:24" ht="16.5" customHeight="1">
      <c r="C8" s="303" t="s">
        <v>285</v>
      </c>
      <c r="W8" s="146" t="s">
        <v>288</v>
      </c>
      <c r="X8" s="372">
        <v>0.08583333333333333</v>
      </c>
    </row>
    <row r="9" spans="5:18" ht="6" customHeight="1" thickBot="1"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</row>
    <row r="10" spans="1:27" ht="15" customHeight="1">
      <c r="A10" s="566" t="s">
        <v>156</v>
      </c>
      <c r="B10" s="568" t="s">
        <v>157</v>
      </c>
      <c r="C10" s="486" t="s">
        <v>26</v>
      </c>
      <c r="D10" s="570" t="s">
        <v>253</v>
      </c>
      <c r="E10" s="548" t="s">
        <v>325</v>
      </c>
      <c r="F10" s="529" t="s">
        <v>326</v>
      </c>
      <c r="G10" s="530"/>
      <c r="H10" s="536" t="s">
        <v>165</v>
      </c>
      <c r="I10" s="536" t="s">
        <v>327</v>
      </c>
      <c r="J10" s="536" t="s">
        <v>328</v>
      </c>
      <c r="K10" s="536" t="s">
        <v>329</v>
      </c>
      <c r="L10" s="540" t="s">
        <v>330</v>
      </c>
      <c r="M10" s="562" t="s">
        <v>331</v>
      </c>
      <c r="N10" s="563"/>
      <c r="O10" s="536" t="s">
        <v>332</v>
      </c>
      <c r="P10" s="536" t="s">
        <v>128</v>
      </c>
      <c r="Q10" s="536" t="s">
        <v>333</v>
      </c>
      <c r="R10" s="538"/>
      <c r="S10" s="556" t="s">
        <v>254</v>
      </c>
      <c r="T10" s="556" t="s">
        <v>255</v>
      </c>
      <c r="U10" s="552" t="s">
        <v>334</v>
      </c>
      <c r="V10" s="552" t="s">
        <v>77</v>
      </c>
      <c r="W10" s="533" t="s">
        <v>78</v>
      </c>
      <c r="X10" s="545" t="s">
        <v>335</v>
      </c>
      <c r="Y10" s="533" t="s">
        <v>29</v>
      </c>
      <c r="Z10" s="549" t="s">
        <v>30</v>
      </c>
      <c r="AA10" s="559" t="s">
        <v>76</v>
      </c>
    </row>
    <row r="11" spans="1:27" ht="15" customHeight="1">
      <c r="A11" s="566"/>
      <c r="B11" s="568"/>
      <c r="C11" s="487"/>
      <c r="D11" s="571"/>
      <c r="E11" s="536"/>
      <c r="F11" s="529"/>
      <c r="G11" s="530"/>
      <c r="H11" s="536"/>
      <c r="I11" s="536"/>
      <c r="J11" s="536"/>
      <c r="K11" s="536"/>
      <c r="L11" s="541"/>
      <c r="M11" s="564"/>
      <c r="N11" s="530"/>
      <c r="O11" s="536"/>
      <c r="P11" s="536"/>
      <c r="Q11" s="536"/>
      <c r="R11" s="538"/>
      <c r="S11" s="557"/>
      <c r="T11" s="557"/>
      <c r="U11" s="553"/>
      <c r="V11" s="553"/>
      <c r="W11" s="534"/>
      <c r="X11" s="546"/>
      <c r="Y11" s="534"/>
      <c r="Z11" s="550"/>
      <c r="AA11" s="560"/>
    </row>
    <row r="12" spans="1:27" ht="93" customHeight="1">
      <c r="A12" s="566"/>
      <c r="B12" s="568"/>
      <c r="C12" s="487"/>
      <c r="D12" s="571"/>
      <c r="E12" s="537"/>
      <c r="F12" s="531"/>
      <c r="G12" s="532"/>
      <c r="H12" s="537"/>
      <c r="I12" s="537"/>
      <c r="J12" s="537"/>
      <c r="K12" s="537"/>
      <c r="L12" s="541"/>
      <c r="M12" s="565"/>
      <c r="N12" s="532"/>
      <c r="O12" s="537"/>
      <c r="P12" s="537"/>
      <c r="Q12" s="537"/>
      <c r="R12" s="539"/>
      <c r="S12" s="557"/>
      <c r="T12" s="557"/>
      <c r="U12" s="553"/>
      <c r="V12" s="553"/>
      <c r="W12" s="534"/>
      <c r="X12" s="546"/>
      <c r="Y12" s="534"/>
      <c r="Z12" s="550"/>
      <c r="AA12" s="560"/>
    </row>
    <row r="13" spans="1:27" ht="16.5" customHeight="1" thickBot="1">
      <c r="A13" s="567"/>
      <c r="B13" s="569"/>
      <c r="C13" s="506"/>
      <c r="D13" s="571"/>
      <c r="E13" s="392" t="s">
        <v>256</v>
      </c>
      <c r="F13" s="390" t="s">
        <v>256</v>
      </c>
      <c r="G13" s="393" t="s">
        <v>324</v>
      </c>
      <c r="H13" s="392" t="s">
        <v>256</v>
      </c>
      <c r="I13" s="392" t="s">
        <v>256</v>
      </c>
      <c r="J13" s="392" t="s">
        <v>256</v>
      </c>
      <c r="K13" s="392" t="s">
        <v>256</v>
      </c>
      <c r="L13" s="542"/>
      <c r="M13" s="390" t="s">
        <v>256</v>
      </c>
      <c r="N13" s="393" t="s">
        <v>324</v>
      </c>
      <c r="O13" s="392" t="s">
        <v>256</v>
      </c>
      <c r="P13" s="392" t="s">
        <v>256</v>
      </c>
      <c r="Q13" s="392" t="s">
        <v>256</v>
      </c>
      <c r="R13" s="394"/>
      <c r="S13" s="558"/>
      <c r="T13" s="558"/>
      <c r="U13" s="554"/>
      <c r="V13" s="554"/>
      <c r="W13" s="535"/>
      <c r="X13" s="547"/>
      <c r="Y13" s="535"/>
      <c r="Z13" s="551"/>
      <c r="AA13" s="561"/>
    </row>
    <row r="14" spans="1:27" ht="22.5" customHeight="1">
      <c r="A14" s="150">
        <v>250</v>
      </c>
      <c r="B14" s="151">
        <f>IF(ISNA(VLOOKUP(A14,'Проток.жеребк.'!$A:$G,5,FALSE)),"—",VLOOKUP(A14,'Проток.жеребк.'!$A:$G,5,FALSE))</f>
        <v>9</v>
      </c>
      <c r="C14" s="304">
        <f>IF(ISTEXT(D14),COUNTIF(D$14:D14,"&lt;&gt;0"),"")</f>
        <v>1</v>
      </c>
      <c r="D14" s="305" t="str">
        <f>VLOOKUP(A14,'Іменні заявки'!$A:$J,7,FALSE)</f>
        <v>м.Хмельницького</v>
      </c>
      <c r="E14" s="395">
        <v>0</v>
      </c>
      <c r="F14" s="396">
        <v>0</v>
      </c>
      <c r="G14" s="403">
        <v>0.001550925925925926</v>
      </c>
      <c r="H14" s="395">
        <v>0</v>
      </c>
      <c r="I14" s="395">
        <v>0</v>
      </c>
      <c r="J14" s="395">
        <v>0</v>
      </c>
      <c r="K14" s="395">
        <v>0</v>
      </c>
      <c r="L14" s="395"/>
      <c r="M14" s="396">
        <v>0</v>
      </c>
      <c r="N14" s="403">
        <v>0.004236111111111111</v>
      </c>
      <c r="O14" s="395">
        <v>0</v>
      </c>
      <c r="P14" s="395">
        <v>0</v>
      </c>
      <c r="Q14" s="395">
        <v>0</v>
      </c>
      <c r="R14" s="415"/>
      <c r="S14" s="407">
        <v>0</v>
      </c>
      <c r="T14" s="408">
        <f aca="true" t="shared" si="0" ref="T14:T40">IF(S14=0,0,IF(OR(SECOND(S14)=0,SECOND(S14)=30),INT(S14/$AC$5),INT(S14/$AC$5)+1))</f>
        <v>0</v>
      </c>
      <c r="U14" s="310">
        <f aca="true" t="shared" si="1" ref="U14:U40">SUM(G14,N14)</f>
        <v>0.005787037037037037</v>
      </c>
      <c r="V14" s="362">
        <f aca="true" t="shared" si="2" ref="V14:V40">SUM(E14:F14,H14:K14,M14,O14:Q14)</f>
        <v>0</v>
      </c>
      <c r="W14" s="350">
        <f aca="true" t="shared" si="3" ref="W14:W40">V14*$AC$5</f>
        <v>0</v>
      </c>
      <c r="X14" s="419">
        <v>0.08583333333333333</v>
      </c>
      <c r="Y14" s="351">
        <f aca="true" t="shared" si="4" ref="Y14:Y40">SUM(W14,X14)</f>
        <v>0.08583333333333333</v>
      </c>
      <c r="Z14" s="306">
        <v>1</v>
      </c>
      <c r="AA14" s="307"/>
    </row>
    <row r="15" spans="1:27" ht="22.5" customHeight="1">
      <c r="A15" s="150">
        <v>190</v>
      </c>
      <c r="B15" s="151">
        <f>IF(ISNA(VLOOKUP(A15,'Проток.жеребк.'!$A:$G,5,FALSE)),"—",VLOOKUP(A15,'Проток.жеребк.'!$A:$G,5,FALSE))</f>
        <v>6</v>
      </c>
      <c r="C15" s="308">
        <f>IF(ISTEXT(D15),COUNTIF(D$14:D15,"&lt;&gt;0"),"")</f>
        <v>2</v>
      </c>
      <c r="D15" s="309" t="str">
        <f>VLOOKUP(A15,'Іменні заявки'!$A:$J,7,FALSE)</f>
        <v>Шепетівського р-ну</v>
      </c>
      <c r="E15" s="397">
        <v>0</v>
      </c>
      <c r="F15" s="398">
        <v>0</v>
      </c>
      <c r="G15" s="404">
        <v>0.0019444444444444442</v>
      </c>
      <c r="H15" s="399">
        <v>0</v>
      </c>
      <c r="I15" s="399">
        <v>0</v>
      </c>
      <c r="J15" s="399">
        <v>0</v>
      </c>
      <c r="K15" s="397">
        <v>3</v>
      </c>
      <c r="L15" s="399"/>
      <c r="M15" s="400">
        <v>0</v>
      </c>
      <c r="N15" s="405">
        <v>0.005706018518518519</v>
      </c>
      <c r="O15" s="397">
        <v>0</v>
      </c>
      <c r="P15" s="399">
        <v>0</v>
      </c>
      <c r="Q15" s="397">
        <v>0</v>
      </c>
      <c r="R15" s="416"/>
      <c r="S15" s="409">
        <v>0</v>
      </c>
      <c r="T15" s="410">
        <f t="shared" si="0"/>
        <v>0</v>
      </c>
      <c r="U15" s="310">
        <f t="shared" si="1"/>
        <v>0.007650462962962963</v>
      </c>
      <c r="V15" s="362">
        <f t="shared" si="2"/>
        <v>3</v>
      </c>
      <c r="W15" s="350">
        <f t="shared" si="3"/>
        <v>0.0010416666666666667</v>
      </c>
      <c r="X15" s="419">
        <v>0.08583333333333333</v>
      </c>
      <c r="Y15" s="352">
        <f t="shared" si="4"/>
        <v>0.086875</v>
      </c>
      <c r="Z15" s="311">
        <v>2</v>
      </c>
      <c r="AA15" s="312"/>
    </row>
    <row r="16" spans="1:27" ht="22.5" customHeight="1">
      <c r="A16" s="150">
        <v>210</v>
      </c>
      <c r="B16" s="151">
        <f>IF(ISNA(VLOOKUP(A16,'Проток.жеребк.'!$A:$G,5,FALSE)),"—",VLOOKUP(A16,'Проток.жеребк.'!$A:$G,5,FALSE))</f>
        <v>4</v>
      </c>
      <c r="C16" s="313">
        <f>IF(ISTEXT(D16),COUNTIF(D$14:D16,"&lt;&gt;0"),"")</f>
        <v>3</v>
      </c>
      <c r="D16" s="309" t="str">
        <f>VLOOKUP(A16,'Іменні заявки'!$A:$J,7,FALSE)</f>
        <v>м.Кам’янця-Подільського</v>
      </c>
      <c r="E16" s="397">
        <v>0</v>
      </c>
      <c r="F16" s="398">
        <v>0</v>
      </c>
      <c r="G16" s="404">
        <v>0.0025694444444444445</v>
      </c>
      <c r="H16" s="399">
        <v>0</v>
      </c>
      <c r="I16" s="397">
        <v>0</v>
      </c>
      <c r="J16" s="399">
        <v>0</v>
      </c>
      <c r="K16" s="397">
        <v>3</v>
      </c>
      <c r="L16" s="399"/>
      <c r="M16" s="400">
        <v>0</v>
      </c>
      <c r="N16" s="405">
        <v>0.007337962962962963</v>
      </c>
      <c r="O16" s="397">
        <v>0</v>
      </c>
      <c r="P16" s="399">
        <v>0</v>
      </c>
      <c r="Q16" s="397">
        <v>0</v>
      </c>
      <c r="R16" s="416"/>
      <c r="S16" s="409">
        <v>0</v>
      </c>
      <c r="T16" s="410">
        <f t="shared" si="0"/>
        <v>0</v>
      </c>
      <c r="U16" s="310">
        <f t="shared" si="1"/>
        <v>0.009907407407407406</v>
      </c>
      <c r="V16" s="362">
        <f t="shared" si="2"/>
        <v>3</v>
      </c>
      <c r="W16" s="350">
        <f t="shared" si="3"/>
        <v>0.0010416666666666667</v>
      </c>
      <c r="X16" s="419">
        <v>0.08583333333333333</v>
      </c>
      <c r="Y16" s="352">
        <f t="shared" si="4"/>
        <v>0.086875</v>
      </c>
      <c r="Z16" s="311">
        <v>3</v>
      </c>
      <c r="AA16" s="312"/>
    </row>
    <row r="17" spans="1:27" ht="22.5" customHeight="1">
      <c r="A17" s="150">
        <v>230</v>
      </c>
      <c r="B17" s="151">
        <f>IF(ISNA(VLOOKUP(A17,'Проток.жеребк.'!$A:$G,5,FALSE)),"—",VLOOKUP(A17,'Проток.жеребк.'!$A:$G,5,FALSE))</f>
        <v>1</v>
      </c>
      <c r="C17" s="313">
        <f>IF(ISTEXT(D17),COUNTIF(D$14:D17,"&lt;&gt;0"),"")</f>
        <v>4</v>
      </c>
      <c r="D17" s="309" t="str">
        <f>VLOOKUP(A17,'Іменні заявки'!$A:$J,7,FALSE)</f>
        <v>м.Славути</v>
      </c>
      <c r="E17" s="397">
        <v>0</v>
      </c>
      <c r="F17" s="398">
        <v>0</v>
      </c>
      <c r="G17" s="404">
        <v>0.0024537037037037036</v>
      </c>
      <c r="H17" s="399">
        <v>0</v>
      </c>
      <c r="I17" s="397">
        <v>0</v>
      </c>
      <c r="J17" s="399">
        <v>1</v>
      </c>
      <c r="K17" s="397">
        <v>3</v>
      </c>
      <c r="L17" s="399"/>
      <c r="M17" s="400">
        <v>0</v>
      </c>
      <c r="N17" s="405">
        <v>0.00806712962962963</v>
      </c>
      <c r="O17" s="397">
        <v>0</v>
      </c>
      <c r="P17" s="399">
        <v>0</v>
      </c>
      <c r="Q17" s="397">
        <v>0</v>
      </c>
      <c r="R17" s="416"/>
      <c r="S17" s="409">
        <v>0</v>
      </c>
      <c r="T17" s="410">
        <f>IF(S17=0,0,IF(OR(SECOND(S17)=0,SECOND(S17)=30),INT(S17/$AC$5),INT(S17/$AC$5)+1))</f>
        <v>0</v>
      </c>
      <c r="U17" s="310">
        <f>SUM(G17,N17)</f>
        <v>0.010520833333333333</v>
      </c>
      <c r="V17" s="362">
        <f>SUM(E17:F17,H17:K17,M17,O17:Q17)</f>
        <v>4</v>
      </c>
      <c r="W17" s="350">
        <f>V17*$AC$5</f>
        <v>0.001388888888888889</v>
      </c>
      <c r="X17" s="419">
        <v>0.08583333333333333</v>
      </c>
      <c r="Y17" s="352">
        <f>SUM(W17,X17)</f>
        <v>0.08722222222222221</v>
      </c>
      <c r="Z17" s="311">
        <v>4</v>
      </c>
      <c r="AA17" s="312"/>
    </row>
    <row r="18" spans="1:27" ht="22.5" customHeight="1">
      <c r="A18" s="150">
        <v>120</v>
      </c>
      <c r="B18" s="151">
        <f>IF(ISNA(VLOOKUP(A18,'Проток.жеребк.'!$A:$G,5,FALSE)),"—",VLOOKUP(A18,'Проток.жеребк.'!$A:$G,5,FALSE))</f>
        <v>5</v>
      </c>
      <c r="C18" s="308">
        <f>IF(ISTEXT(D18),COUNTIF(D$14:D18,"&lt;&gt;0"),"")</f>
        <v>5</v>
      </c>
      <c r="D18" s="309" t="str">
        <f>VLOOKUP(A18,'Іменні заявки'!$A:$J,7,FALSE)</f>
        <v>Полонського р-ну</v>
      </c>
      <c r="E18" s="397">
        <v>0</v>
      </c>
      <c r="F18" s="398">
        <v>0</v>
      </c>
      <c r="G18" s="404">
        <v>0.0022800925925925927</v>
      </c>
      <c r="H18" s="399">
        <v>0</v>
      </c>
      <c r="I18" s="397">
        <v>0</v>
      </c>
      <c r="J18" s="399">
        <v>0</v>
      </c>
      <c r="K18" s="397">
        <v>6</v>
      </c>
      <c r="L18" s="399"/>
      <c r="M18" s="400">
        <v>0</v>
      </c>
      <c r="N18" s="405">
        <v>0.0069560185185185185</v>
      </c>
      <c r="O18" s="397">
        <v>0</v>
      </c>
      <c r="P18" s="399">
        <v>0</v>
      </c>
      <c r="Q18" s="397">
        <v>0</v>
      </c>
      <c r="R18" s="416"/>
      <c r="S18" s="409">
        <v>0</v>
      </c>
      <c r="T18" s="410">
        <f>IF(S18=0,0,IF(OR(SECOND(S18)=0,SECOND(S18)=30),INT(S18/$AC$5),INT(S18/$AC$5)+1))</f>
        <v>0</v>
      </c>
      <c r="U18" s="310">
        <f>SUM(G18,N18)</f>
        <v>0.009236111111111112</v>
      </c>
      <c r="V18" s="362">
        <f>SUM(E18:F18,H18:K18,M18,O18:Q18)</f>
        <v>6</v>
      </c>
      <c r="W18" s="350">
        <f>V18*$AC$5</f>
        <v>0.0020833333333333333</v>
      </c>
      <c r="X18" s="419">
        <v>0.08583333333333333</v>
      </c>
      <c r="Y18" s="352">
        <f>SUM(W18,X18)</f>
        <v>0.08791666666666667</v>
      </c>
      <c r="Z18" s="311">
        <v>5</v>
      </c>
      <c r="AA18" s="312"/>
    </row>
    <row r="19" spans="1:27" ht="22.5" customHeight="1">
      <c r="A19" s="150">
        <v>170</v>
      </c>
      <c r="B19" s="151">
        <f>IF(ISNA(VLOOKUP(A19,'Проток.жеребк.'!$A:$G,5,FALSE)),"—",VLOOKUP(A19,'Проток.жеребк.'!$A:$G,5,FALSE))</f>
        <v>3</v>
      </c>
      <c r="C19" s="313">
        <f>IF(ISTEXT(D19),COUNTIF(D$14:D19,"&lt;&gt;0"),"")</f>
        <v>6</v>
      </c>
      <c r="D19" s="309" t="str">
        <f>VLOOKUP(A19,'Іменні заявки'!$A:$J,7,FALSE)</f>
        <v>Хмельницького р-ну</v>
      </c>
      <c r="E19" s="397">
        <v>6</v>
      </c>
      <c r="F19" s="398">
        <v>0</v>
      </c>
      <c r="G19" s="404">
        <v>0.0044444444444444444</v>
      </c>
      <c r="H19" s="399">
        <v>0</v>
      </c>
      <c r="I19" s="397">
        <v>0</v>
      </c>
      <c r="J19" s="399">
        <v>0</v>
      </c>
      <c r="K19" s="397">
        <v>3</v>
      </c>
      <c r="L19" s="399"/>
      <c r="M19" s="400">
        <v>2</v>
      </c>
      <c r="N19" s="405">
        <v>0.007638888888888889</v>
      </c>
      <c r="O19" s="397">
        <v>0</v>
      </c>
      <c r="P19" s="399">
        <v>0</v>
      </c>
      <c r="Q19" s="397">
        <v>0</v>
      </c>
      <c r="R19" s="416"/>
      <c r="S19" s="409">
        <v>0</v>
      </c>
      <c r="T19" s="410">
        <f t="shared" si="0"/>
        <v>0</v>
      </c>
      <c r="U19" s="310">
        <f t="shared" si="1"/>
        <v>0.012083333333333333</v>
      </c>
      <c r="V19" s="362">
        <f t="shared" si="2"/>
        <v>11</v>
      </c>
      <c r="W19" s="350">
        <f t="shared" si="3"/>
        <v>0.0038194444444444448</v>
      </c>
      <c r="X19" s="419">
        <v>0.08583333333333333</v>
      </c>
      <c r="Y19" s="352">
        <f t="shared" si="4"/>
        <v>0.08965277777777778</v>
      </c>
      <c r="Z19" s="311">
        <v>6</v>
      </c>
      <c r="AA19" s="312"/>
    </row>
    <row r="20" spans="1:27" ht="22.5" customHeight="1">
      <c r="A20" s="150">
        <v>220</v>
      </c>
      <c r="B20" s="151">
        <f>IF(ISNA(VLOOKUP(A20,'Проток.жеребк.'!$A:$G,5,FALSE)),"—",VLOOKUP(A20,'Проток.жеребк.'!$A:$G,5,FALSE))</f>
        <v>2</v>
      </c>
      <c r="C20" s="308">
        <f>IF(ISTEXT(D20),COUNTIF(D$14:D20,"&lt;&gt;0"),"")</f>
        <v>7</v>
      </c>
      <c r="D20" s="309" t="str">
        <f>VLOOKUP(A20,'Іменні заявки'!$A:$J,7,FALSE)</f>
        <v>м. Нетішина</v>
      </c>
      <c r="E20" s="397">
        <v>6</v>
      </c>
      <c r="F20" s="400">
        <v>0</v>
      </c>
      <c r="G20" s="404">
        <v>0.0035185185185185185</v>
      </c>
      <c r="H20" s="399">
        <v>0</v>
      </c>
      <c r="I20" s="397">
        <v>1</v>
      </c>
      <c r="J20" s="399">
        <v>1</v>
      </c>
      <c r="K20" s="397">
        <v>3</v>
      </c>
      <c r="L20" s="399"/>
      <c r="M20" s="400">
        <v>1</v>
      </c>
      <c r="N20" s="405">
        <v>0.007858796296296296</v>
      </c>
      <c r="O20" s="397">
        <v>1</v>
      </c>
      <c r="P20" s="399">
        <v>0</v>
      </c>
      <c r="Q20" s="397">
        <v>0</v>
      </c>
      <c r="R20" s="416"/>
      <c r="S20" s="409">
        <v>0</v>
      </c>
      <c r="T20" s="410">
        <f t="shared" si="0"/>
        <v>0</v>
      </c>
      <c r="U20" s="310">
        <f t="shared" si="1"/>
        <v>0.011377314814814814</v>
      </c>
      <c r="V20" s="362">
        <f t="shared" si="2"/>
        <v>13</v>
      </c>
      <c r="W20" s="350">
        <f t="shared" si="3"/>
        <v>0.004513888888888889</v>
      </c>
      <c r="X20" s="419">
        <v>0.08583333333333333</v>
      </c>
      <c r="Y20" s="352">
        <f t="shared" si="4"/>
        <v>0.09034722222222222</v>
      </c>
      <c r="Z20" s="311">
        <v>7</v>
      </c>
      <c r="AA20" s="312"/>
    </row>
    <row r="21" spans="1:27" ht="22.5" customHeight="1">
      <c r="A21" s="150">
        <v>180</v>
      </c>
      <c r="B21" s="151">
        <f>IF(ISNA(VLOOKUP(A21,'Проток.жеребк.'!$A:$G,5,FALSE)),"—",VLOOKUP(A21,'Проток.жеребк.'!$A:$G,5,FALSE))</f>
        <v>10</v>
      </c>
      <c r="C21" s="308">
        <f>IF(ISTEXT(D21),COUNTIF(D$14:D21,"&lt;&gt;0"),"")</f>
        <v>8</v>
      </c>
      <c r="D21" s="309" t="str">
        <f>VLOOKUP(A21,'Іменні заявки'!$A:$J,7,FALSE)</f>
        <v>Чемеровецького р-ну</v>
      </c>
      <c r="E21" s="397">
        <v>6</v>
      </c>
      <c r="F21" s="398">
        <v>0</v>
      </c>
      <c r="G21" s="404">
        <v>0.00318287037037037</v>
      </c>
      <c r="H21" s="399">
        <v>0</v>
      </c>
      <c r="I21" s="397">
        <v>9</v>
      </c>
      <c r="J21" s="399">
        <v>6</v>
      </c>
      <c r="K21" s="397">
        <v>0</v>
      </c>
      <c r="L21" s="399"/>
      <c r="M21" s="400">
        <v>44</v>
      </c>
      <c r="N21" s="405">
        <v>0.010416666666666666</v>
      </c>
      <c r="O21" s="397">
        <v>56</v>
      </c>
      <c r="P21" s="399">
        <v>4</v>
      </c>
      <c r="Q21" s="397">
        <v>0</v>
      </c>
      <c r="R21" s="416"/>
      <c r="S21" s="409">
        <v>0</v>
      </c>
      <c r="T21" s="410">
        <f t="shared" si="0"/>
        <v>0</v>
      </c>
      <c r="U21" s="310">
        <f t="shared" si="1"/>
        <v>0.013599537037037037</v>
      </c>
      <c r="V21" s="362">
        <f t="shared" si="2"/>
        <v>125</v>
      </c>
      <c r="W21" s="350">
        <f t="shared" si="3"/>
        <v>0.043402777777777776</v>
      </c>
      <c r="X21" s="419">
        <v>0.08583333333333333</v>
      </c>
      <c r="Y21" s="352">
        <f t="shared" si="4"/>
        <v>0.1292361111111111</v>
      </c>
      <c r="Z21" s="311">
        <v>8</v>
      </c>
      <c r="AA21" s="312"/>
    </row>
    <row r="22" spans="1:27" ht="22.5" customHeight="1">
      <c r="A22" s="150">
        <v>140</v>
      </c>
      <c r="B22" s="151">
        <f>IF(ISNA(VLOOKUP(A22,'Проток.жеребк.'!$A:$G,5,FALSE)),"—",VLOOKUP(A22,'Проток.жеребк.'!$A:$G,5,FALSE))</f>
        <v>8</v>
      </c>
      <c r="C22" s="308">
        <f>IF(ISTEXT(D22),COUNTIF(D$14:D22,"&lt;&gt;0"),"")</f>
        <v>9</v>
      </c>
      <c r="D22" s="309" t="str">
        <f>VLOOKUP(A22,'Іменні заявки'!$A:$J,7,FALSE)</f>
        <v>Старокостянтин. р-ну</v>
      </c>
      <c r="E22" s="397">
        <v>0</v>
      </c>
      <c r="F22" s="398">
        <v>0</v>
      </c>
      <c r="G22" s="404">
        <v>0.0037500000000000003</v>
      </c>
      <c r="H22" s="399">
        <v>0</v>
      </c>
      <c r="I22" s="397">
        <v>160</v>
      </c>
      <c r="J22" s="399">
        <v>0</v>
      </c>
      <c r="K22" s="397">
        <v>1</v>
      </c>
      <c r="L22" s="399"/>
      <c r="M22" s="400">
        <v>3</v>
      </c>
      <c r="N22" s="405">
        <v>0.00917824074074074</v>
      </c>
      <c r="O22" s="397">
        <v>2</v>
      </c>
      <c r="P22" s="399">
        <v>10</v>
      </c>
      <c r="Q22" s="397">
        <v>8</v>
      </c>
      <c r="R22" s="416"/>
      <c r="S22" s="409">
        <v>0</v>
      </c>
      <c r="T22" s="410">
        <f t="shared" si="0"/>
        <v>0</v>
      </c>
      <c r="U22" s="310">
        <f t="shared" si="1"/>
        <v>0.01292824074074074</v>
      </c>
      <c r="V22" s="362">
        <f t="shared" si="2"/>
        <v>184</v>
      </c>
      <c r="W22" s="350">
        <f t="shared" si="3"/>
        <v>0.0638888888888889</v>
      </c>
      <c r="X22" s="419">
        <v>0.08583333333333333</v>
      </c>
      <c r="Y22" s="352">
        <f t="shared" si="4"/>
        <v>0.14972222222222223</v>
      </c>
      <c r="Z22" s="311">
        <v>9</v>
      </c>
      <c r="AA22" s="312"/>
    </row>
    <row r="23" spans="1:27" ht="22.5" customHeight="1">
      <c r="A23" s="150">
        <v>240</v>
      </c>
      <c r="B23" s="151">
        <f>IF(ISNA(VLOOKUP(A23,'Проток.жеребк.'!$A:$G,5,FALSE)),"—",VLOOKUP(A23,'Проток.жеребк.'!$A:$G,5,FALSE))</f>
        <v>12</v>
      </c>
      <c r="C23" s="308">
        <f>IF(ISTEXT(D23),COUNTIF(D$14:D23,"&lt;&gt;0"),"")</f>
        <v>10</v>
      </c>
      <c r="D23" s="309" t="str">
        <f>VLOOKUP(A23,'Іменні заявки'!$A:$J,7,FALSE)</f>
        <v>м.Старокостянтинів</v>
      </c>
      <c r="E23" s="397">
        <v>25</v>
      </c>
      <c r="F23" s="398">
        <v>4</v>
      </c>
      <c r="G23" s="404">
        <v>0.004953703703703704</v>
      </c>
      <c r="H23" s="399">
        <v>3</v>
      </c>
      <c r="I23" s="397">
        <v>9</v>
      </c>
      <c r="J23" s="399">
        <v>0</v>
      </c>
      <c r="K23" s="397">
        <v>15</v>
      </c>
      <c r="L23" s="399"/>
      <c r="M23" s="400">
        <v>72</v>
      </c>
      <c r="N23" s="405">
        <v>0.010416666666666666</v>
      </c>
      <c r="O23" s="397">
        <v>140</v>
      </c>
      <c r="P23" s="399">
        <v>9</v>
      </c>
      <c r="Q23" s="397">
        <v>0</v>
      </c>
      <c r="R23" s="416"/>
      <c r="S23" s="409">
        <v>0</v>
      </c>
      <c r="T23" s="410">
        <f t="shared" si="0"/>
        <v>0</v>
      </c>
      <c r="U23" s="310">
        <f t="shared" si="1"/>
        <v>0.015370370370370371</v>
      </c>
      <c r="V23" s="362">
        <f t="shared" si="2"/>
        <v>277</v>
      </c>
      <c r="W23" s="350">
        <f t="shared" si="3"/>
        <v>0.09618055555555556</v>
      </c>
      <c r="X23" s="419">
        <v>0.08583333333333333</v>
      </c>
      <c r="Y23" s="352">
        <f t="shared" si="4"/>
        <v>0.1820138888888889</v>
      </c>
      <c r="Z23" s="311">
        <v>10</v>
      </c>
      <c r="AA23" s="312"/>
    </row>
    <row r="24" spans="1:27" ht="22.5" customHeight="1">
      <c r="A24" s="150">
        <v>260</v>
      </c>
      <c r="B24" s="151">
        <f>IF(ISNA(VLOOKUP(A24,'Проток.жеребк.'!$A:$G,5,FALSE)),"—",VLOOKUP(A24,'Проток.жеребк.'!$A:$G,5,FALSE))</f>
        <v>7</v>
      </c>
      <c r="C24" s="308">
        <f>IF(ISTEXT(D24),COUNTIF(D$14:D24,"&lt;&gt;0"),"")</f>
        <v>11</v>
      </c>
      <c r="D24" s="309" t="str">
        <f>VLOOKUP(A24,'Іменні заявки'!$A:$J,7,FALSE)</f>
        <v>м.Шепетівки</v>
      </c>
      <c r="E24" s="397">
        <v>6</v>
      </c>
      <c r="F24" s="398">
        <v>46</v>
      </c>
      <c r="G24" s="404">
        <v>0.005555555555555556</v>
      </c>
      <c r="H24" s="399">
        <v>0</v>
      </c>
      <c r="I24" s="397">
        <v>6</v>
      </c>
      <c r="J24" s="399">
        <v>20</v>
      </c>
      <c r="K24" s="397">
        <v>12</v>
      </c>
      <c r="L24" s="399"/>
      <c r="M24" s="400">
        <v>150</v>
      </c>
      <c r="N24" s="405">
        <v>0.010416666666666666</v>
      </c>
      <c r="O24" s="397">
        <v>80</v>
      </c>
      <c r="P24" s="399">
        <v>23</v>
      </c>
      <c r="Q24" s="397">
        <v>0</v>
      </c>
      <c r="R24" s="416"/>
      <c r="S24" s="409">
        <v>0</v>
      </c>
      <c r="T24" s="410">
        <f t="shared" si="0"/>
        <v>0</v>
      </c>
      <c r="U24" s="310">
        <f t="shared" si="1"/>
        <v>0.01597222222222222</v>
      </c>
      <c r="V24" s="362">
        <f t="shared" si="2"/>
        <v>343</v>
      </c>
      <c r="W24" s="350">
        <f t="shared" si="3"/>
        <v>0.11909722222222223</v>
      </c>
      <c r="X24" s="419">
        <v>0.08583333333333333</v>
      </c>
      <c r="Y24" s="352">
        <f t="shared" si="4"/>
        <v>0.20493055555555556</v>
      </c>
      <c r="Z24" s="311">
        <v>11</v>
      </c>
      <c r="AA24" s="312"/>
    </row>
    <row r="25" spans="1:27" ht="22.5" customHeight="1">
      <c r="A25" s="150">
        <v>110</v>
      </c>
      <c r="B25" s="151">
        <f>IF(ISNA(VLOOKUP(A25,'Проток.жеребк.'!$A:$G,5,FALSE)),"—",VLOOKUP(A25,'Проток.жеребк.'!$A:$G,5,FALSE))</f>
        <v>11</v>
      </c>
      <c r="C25" s="308">
        <f>IF(ISTEXT(D25),COUNTIF(D$14:D25,"&lt;&gt;0"),"")</f>
        <v>12</v>
      </c>
      <c r="D25" s="309" t="str">
        <f>VLOOKUP(A25,'Іменні заявки'!$A:$J,7,FALSE)</f>
        <v>Новоушицького р-ну</v>
      </c>
      <c r="E25" s="397">
        <v>12</v>
      </c>
      <c r="F25" s="398">
        <v>48</v>
      </c>
      <c r="G25" s="404">
        <v>0.005555555555555556</v>
      </c>
      <c r="H25" s="399">
        <v>14</v>
      </c>
      <c r="I25" s="397">
        <v>166</v>
      </c>
      <c r="J25" s="399">
        <v>17</v>
      </c>
      <c r="K25" s="397">
        <v>13</v>
      </c>
      <c r="L25" s="399"/>
      <c r="M25" s="400">
        <v>50</v>
      </c>
      <c r="N25" s="405">
        <v>0.010416666666666666</v>
      </c>
      <c r="O25" s="397">
        <v>26</v>
      </c>
      <c r="P25" s="399">
        <v>7</v>
      </c>
      <c r="Q25" s="397">
        <v>0</v>
      </c>
      <c r="R25" s="416"/>
      <c r="S25" s="409">
        <v>0</v>
      </c>
      <c r="T25" s="410">
        <f t="shared" si="0"/>
        <v>0</v>
      </c>
      <c r="U25" s="310">
        <f t="shared" si="1"/>
        <v>0.01597222222222222</v>
      </c>
      <c r="V25" s="362">
        <f t="shared" si="2"/>
        <v>353</v>
      </c>
      <c r="W25" s="350">
        <f t="shared" si="3"/>
        <v>0.12256944444444445</v>
      </c>
      <c r="X25" s="419">
        <v>0.08583333333333333</v>
      </c>
      <c r="Y25" s="352">
        <f t="shared" si="4"/>
        <v>0.20840277777777777</v>
      </c>
      <c r="Z25" s="311">
        <v>12</v>
      </c>
      <c r="AA25" s="312"/>
    </row>
    <row r="26" spans="1:27" ht="22.5" customHeight="1">
      <c r="A26" s="150">
        <v>90</v>
      </c>
      <c r="B26" s="151">
        <f>IF(ISNA(VLOOKUP(A26,'Проток.жеребк.'!$A:$G,5,FALSE)),"—",VLOOKUP(A26,'Проток.жеребк.'!$A:$G,5,FALSE))</f>
        <v>14</v>
      </c>
      <c r="C26" s="308">
        <f>IF(ISTEXT(D26),COUNTIF(D$14:D26,"&lt;&gt;0"),"")</f>
        <v>13</v>
      </c>
      <c r="D26" s="309" t="str">
        <f>VLOOKUP(A26,'Іменні заявки'!$A:$J,7,FALSE)</f>
        <v>Красилівського р-ну</v>
      </c>
      <c r="E26" s="397">
        <v>40</v>
      </c>
      <c r="F26" s="398">
        <v>3</v>
      </c>
      <c r="G26" s="404">
        <v>0.005543981481481482</v>
      </c>
      <c r="H26" s="399">
        <v>0</v>
      </c>
      <c r="I26" s="397">
        <v>169</v>
      </c>
      <c r="J26" s="399">
        <v>0</v>
      </c>
      <c r="K26" s="397">
        <v>10</v>
      </c>
      <c r="L26" s="399"/>
      <c r="M26" s="400">
        <v>166</v>
      </c>
      <c r="N26" s="405">
        <v>0.010416666666666666</v>
      </c>
      <c r="O26" s="397">
        <v>1</v>
      </c>
      <c r="P26" s="399">
        <v>1</v>
      </c>
      <c r="Q26" s="397">
        <v>0</v>
      </c>
      <c r="R26" s="416"/>
      <c r="S26" s="409">
        <v>0</v>
      </c>
      <c r="T26" s="410">
        <f t="shared" si="0"/>
        <v>0</v>
      </c>
      <c r="U26" s="310">
        <f t="shared" si="1"/>
        <v>0.015960648148148147</v>
      </c>
      <c r="V26" s="362">
        <f t="shared" si="2"/>
        <v>390</v>
      </c>
      <c r="W26" s="350">
        <f t="shared" si="3"/>
        <v>0.13541666666666669</v>
      </c>
      <c r="X26" s="419">
        <v>0.08583333333333333</v>
      </c>
      <c r="Y26" s="352">
        <f t="shared" si="4"/>
        <v>0.22125</v>
      </c>
      <c r="Z26" s="311">
        <v>13</v>
      </c>
      <c r="AA26" s="312"/>
    </row>
    <row r="27" spans="1:27" ht="22.5" customHeight="1">
      <c r="A27" s="150">
        <v>50</v>
      </c>
      <c r="B27" s="151">
        <f>IF(ISNA(VLOOKUP(A27,'Проток.жеребк.'!$A:$G,5,FALSE)),"—",VLOOKUP(A27,'Проток.жеребк.'!$A:$G,5,FALSE))</f>
        <v>15</v>
      </c>
      <c r="C27" s="308">
        <f>IF(ISTEXT(D27),COUNTIF(D$14:D27,"&lt;&gt;0"),"")</f>
        <v>14</v>
      </c>
      <c r="D27" s="309" t="str">
        <f>VLOOKUP(A27,'Іменні заявки'!$A:$J,7,FALSE)</f>
        <v>Деражнянського р-ну</v>
      </c>
      <c r="E27" s="397">
        <v>13</v>
      </c>
      <c r="F27" s="398">
        <v>3</v>
      </c>
      <c r="G27" s="404">
        <v>0.005324074074074075</v>
      </c>
      <c r="H27" s="399">
        <v>0</v>
      </c>
      <c r="I27" s="397">
        <v>116</v>
      </c>
      <c r="J27" s="399">
        <v>1</v>
      </c>
      <c r="K27" s="397">
        <v>10</v>
      </c>
      <c r="L27" s="399"/>
      <c r="M27" s="400">
        <v>160</v>
      </c>
      <c r="N27" s="405">
        <v>0.010416666666666666</v>
      </c>
      <c r="O27" s="397">
        <v>140</v>
      </c>
      <c r="P27" s="399">
        <v>1</v>
      </c>
      <c r="Q27" s="397">
        <v>8</v>
      </c>
      <c r="R27" s="416"/>
      <c r="S27" s="409">
        <v>0</v>
      </c>
      <c r="T27" s="410">
        <f t="shared" si="0"/>
        <v>0</v>
      </c>
      <c r="U27" s="310">
        <f t="shared" si="1"/>
        <v>0.015740740740740743</v>
      </c>
      <c r="V27" s="362">
        <f t="shared" si="2"/>
        <v>452</v>
      </c>
      <c r="W27" s="350">
        <f t="shared" si="3"/>
        <v>0.15694444444444444</v>
      </c>
      <c r="X27" s="419">
        <v>0.08583333333333333</v>
      </c>
      <c r="Y27" s="352">
        <f t="shared" si="4"/>
        <v>0.24277777777777776</v>
      </c>
      <c r="Z27" s="311">
        <v>14</v>
      </c>
      <c r="AA27" s="312"/>
    </row>
    <row r="28" spans="1:27" ht="22.5" customHeight="1">
      <c r="A28" s="150">
        <v>60</v>
      </c>
      <c r="B28" s="151">
        <f>IF(ISNA(VLOOKUP(A28,'Проток.жеребк.'!$A:$G,5,FALSE)),"—",VLOOKUP(A28,'Проток.жеребк.'!$A:$G,5,FALSE))</f>
        <v>17</v>
      </c>
      <c r="C28" s="308">
        <f>IF(ISTEXT(D28),COUNTIF(D$14:D28,"&lt;&gt;0"),"")</f>
        <v>15</v>
      </c>
      <c r="D28" s="309" t="str">
        <f>VLOOKUP(A28,'Іменні заявки'!$A:$J,7,FALSE)</f>
        <v>Дунаєвецького р-ну</v>
      </c>
      <c r="E28" s="397">
        <v>70</v>
      </c>
      <c r="F28" s="398">
        <v>61</v>
      </c>
      <c r="G28" s="404">
        <v>0.005555555555555556</v>
      </c>
      <c r="H28" s="399">
        <v>3</v>
      </c>
      <c r="I28" s="397">
        <v>24</v>
      </c>
      <c r="J28" s="399">
        <v>26</v>
      </c>
      <c r="K28" s="397">
        <v>120</v>
      </c>
      <c r="L28" s="399"/>
      <c r="M28" s="400">
        <v>63</v>
      </c>
      <c r="N28" s="405">
        <v>0.010416666666666666</v>
      </c>
      <c r="O28" s="397">
        <v>136</v>
      </c>
      <c r="P28" s="399">
        <v>53</v>
      </c>
      <c r="Q28" s="397">
        <v>0</v>
      </c>
      <c r="R28" s="416"/>
      <c r="S28" s="409">
        <v>0</v>
      </c>
      <c r="T28" s="410">
        <f t="shared" si="0"/>
        <v>0</v>
      </c>
      <c r="U28" s="310">
        <f t="shared" si="1"/>
        <v>0.01597222222222222</v>
      </c>
      <c r="V28" s="362">
        <f t="shared" si="2"/>
        <v>556</v>
      </c>
      <c r="W28" s="350">
        <f t="shared" si="3"/>
        <v>0.19305555555555556</v>
      </c>
      <c r="X28" s="419">
        <v>0.08583333333333333</v>
      </c>
      <c r="Y28" s="352">
        <f t="shared" si="4"/>
        <v>0.2788888888888889</v>
      </c>
      <c r="Z28" s="311">
        <v>15</v>
      </c>
      <c r="AA28" s="312"/>
    </row>
    <row r="29" spans="1:27" ht="22.5" customHeight="1">
      <c r="A29" s="150">
        <v>20</v>
      </c>
      <c r="B29" s="151">
        <f>IF(ISNA(VLOOKUP(A29,'Проток.жеребк.'!$A:$G,5,FALSE)),"—",VLOOKUP(A29,'Проток.жеребк.'!$A:$G,5,FALSE))</f>
        <v>13</v>
      </c>
      <c r="C29" s="308">
        <f>IF(ISTEXT(D29),COUNTIF(D$14:D29,"&lt;&gt;0"),"")</f>
        <v>16</v>
      </c>
      <c r="D29" s="309" t="str">
        <f>VLOOKUP(A29,'Іменні заявки'!$A:$J,7,FALSE)</f>
        <v>Віньковецького р-ну</v>
      </c>
      <c r="E29" s="397">
        <v>86</v>
      </c>
      <c r="F29" s="398">
        <v>84</v>
      </c>
      <c r="G29" s="404">
        <v>0.005555555555555556</v>
      </c>
      <c r="H29" s="399">
        <v>83</v>
      </c>
      <c r="I29" s="397">
        <v>169</v>
      </c>
      <c r="J29" s="399">
        <v>60</v>
      </c>
      <c r="K29" s="397">
        <v>15</v>
      </c>
      <c r="L29" s="421" t="s">
        <v>415</v>
      </c>
      <c r="M29" s="400">
        <v>166</v>
      </c>
      <c r="N29" s="405">
        <v>0.010416666666666666</v>
      </c>
      <c r="O29" s="397">
        <v>146</v>
      </c>
      <c r="P29" s="399">
        <v>146</v>
      </c>
      <c r="Q29" s="397">
        <v>0</v>
      </c>
      <c r="R29" s="416"/>
      <c r="S29" s="409">
        <v>0</v>
      </c>
      <c r="T29" s="410">
        <f t="shared" si="0"/>
        <v>0</v>
      </c>
      <c r="U29" s="310">
        <f t="shared" si="1"/>
        <v>0.01597222222222222</v>
      </c>
      <c r="V29" s="362">
        <f t="shared" si="2"/>
        <v>955</v>
      </c>
      <c r="W29" s="350">
        <f t="shared" si="3"/>
        <v>0.3315972222222222</v>
      </c>
      <c r="X29" s="419">
        <v>0.08583333333333333</v>
      </c>
      <c r="Y29" s="352">
        <f t="shared" si="4"/>
        <v>0.4174305555555555</v>
      </c>
      <c r="Z29" s="311">
        <v>16</v>
      </c>
      <c r="AA29" s="312"/>
    </row>
    <row r="30" spans="1:27" ht="21.75" customHeight="1" thickBot="1">
      <c r="A30" s="150">
        <v>10</v>
      </c>
      <c r="B30" s="151">
        <f>IF(ISNA(VLOOKUP(A30,'Проток.жеребк.'!$A:$G,5,FALSE)),"—",VLOOKUP(A30,'Проток.жеребк.'!$A:$G,5,FALSE))</f>
        <v>16</v>
      </c>
      <c r="C30" s="308">
        <f>IF(ISTEXT(D30),COUNTIF(D$14:D30,"&lt;&gt;0"),"")</f>
        <v>17</v>
      </c>
      <c r="D30" s="309" t="str">
        <f>VLOOKUP(A30,'Іменні заявки'!$A:$J,7,FALSE)</f>
        <v>Білогірського р-ну</v>
      </c>
      <c r="E30" s="397">
        <v>146</v>
      </c>
      <c r="F30" s="398">
        <v>146</v>
      </c>
      <c r="G30" s="404">
        <v>0.005555555555555556</v>
      </c>
      <c r="H30" s="399">
        <v>1</v>
      </c>
      <c r="I30" s="397">
        <v>160</v>
      </c>
      <c r="J30" s="399">
        <v>80</v>
      </c>
      <c r="K30" s="397">
        <v>120</v>
      </c>
      <c r="L30" s="421" t="s">
        <v>415</v>
      </c>
      <c r="M30" s="400">
        <v>166</v>
      </c>
      <c r="N30" s="405">
        <v>0.010416666666666666</v>
      </c>
      <c r="O30" s="397">
        <v>146</v>
      </c>
      <c r="P30" s="399">
        <v>146</v>
      </c>
      <c r="Q30" s="397">
        <v>0</v>
      </c>
      <c r="R30" s="416"/>
      <c r="S30" s="409">
        <v>0</v>
      </c>
      <c r="T30" s="410">
        <f t="shared" si="0"/>
        <v>0</v>
      </c>
      <c r="U30" s="310">
        <f t="shared" si="1"/>
        <v>0.01597222222222222</v>
      </c>
      <c r="V30" s="362">
        <f t="shared" si="2"/>
        <v>1111</v>
      </c>
      <c r="W30" s="350">
        <f t="shared" si="3"/>
        <v>0.3857638888888889</v>
      </c>
      <c r="X30" s="419">
        <v>0.08583333333333333</v>
      </c>
      <c r="Y30" s="352">
        <f t="shared" si="4"/>
        <v>0.4715972222222222</v>
      </c>
      <c r="Z30" s="311">
        <v>17</v>
      </c>
      <c r="AA30" s="312"/>
    </row>
    <row r="31" spans="1:27" ht="22.5" customHeight="1" hidden="1">
      <c r="A31" s="150">
        <v>80</v>
      </c>
      <c r="B31" s="151">
        <f>IF(ISNA(VLOOKUP(A31,'Проток.жеребк.'!$A:$G,5,FALSE)),"—",VLOOKUP(A31,'Проток.жеребк.'!$A:$G,5,FALSE))</f>
        <v>0</v>
      </c>
      <c r="C31" s="308">
        <f>IF(ISTEXT(D31),COUNTIF(D$14:D31,"&lt;&gt;0"),"")</f>
      </c>
      <c r="D31" s="309">
        <f>VLOOKUP(A31,'Іменні заявки'!$A:$J,7,FALSE)</f>
        <v>0</v>
      </c>
      <c r="E31" s="397"/>
      <c r="F31" s="398"/>
      <c r="G31" s="404">
        <v>0</v>
      </c>
      <c r="H31" s="399"/>
      <c r="I31" s="397"/>
      <c r="J31" s="399"/>
      <c r="K31" s="397"/>
      <c r="L31" s="399"/>
      <c r="M31" s="400"/>
      <c r="N31" s="405">
        <v>0</v>
      </c>
      <c r="O31" s="397"/>
      <c r="P31" s="399"/>
      <c r="Q31" s="397"/>
      <c r="R31" s="416"/>
      <c r="S31" s="409">
        <v>0</v>
      </c>
      <c r="T31" s="410">
        <f t="shared" si="0"/>
        <v>0</v>
      </c>
      <c r="U31" s="310">
        <f t="shared" si="1"/>
        <v>0</v>
      </c>
      <c r="V31" s="362">
        <f t="shared" si="2"/>
        <v>0</v>
      </c>
      <c r="W31" s="350">
        <f t="shared" si="3"/>
        <v>0</v>
      </c>
      <c r="X31" s="419"/>
      <c r="Y31" s="352">
        <f t="shared" si="4"/>
        <v>0</v>
      </c>
      <c r="Z31" s="311"/>
      <c r="AA31" s="312"/>
    </row>
    <row r="32" spans="1:27" ht="22.5" customHeight="1" hidden="1">
      <c r="A32" s="150">
        <v>130</v>
      </c>
      <c r="B32" s="151">
        <f>IF(ISNA(VLOOKUP(A32,'Проток.жеребк.'!$A:$G,5,FALSE)),"—",VLOOKUP(A32,'Проток.жеребк.'!$A:$G,5,FALSE))</f>
        <v>0</v>
      </c>
      <c r="C32" s="308">
        <f>IF(ISTEXT(D32),COUNTIF(D$14:D32,"&lt;&gt;0"),"")</f>
      </c>
      <c r="D32" s="309">
        <f>VLOOKUP(A32,'Іменні заявки'!$A:$J,7,FALSE)</f>
        <v>0</v>
      </c>
      <c r="E32" s="397"/>
      <c r="F32" s="400"/>
      <c r="G32" s="404">
        <v>0</v>
      </c>
      <c r="H32" s="397"/>
      <c r="I32" s="397"/>
      <c r="J32" s="397"/>
      <c r="K32" s="397"/>
      <c r="L32" s="397"/>
      <c r="M32" s="400"/>
      <c r="N32" s="404">
        <v>0</v>
      </c>
      <c r="O32" s="397"/>
      <c r="P32" s="397"/>
      <c r="Q32" s="397"/>
      <c r="R32" s="417"/>
      <c r="S32" s="409">
        <v>0</v>
      </c>
      <c r="T32" s="410">
        <f t="shared" si="0"/>
        <v>0</v>
      </c>
      <c r="U32" s="310">
        <f t="shared" si="1"/>
        <v>0</v>
      </c>
      <c r="V32" s="362">
        <f t="shared" si="2"/>
        <v>0</v>
      </c>
      <c r="W32" s="350">
        <f t="shared" si="3"/>
        <v>0</v>
      </c>
      <c r="X32" s="419"/>
      <c r="Y32" s="352">
        <f t="shared" si="4"/>
        <v>0</v>
      </c>
      <c r="Z32" s="311"/>
      <c r="AA32" s="312"/>
    </row>
    <row r="33" spans="1:27" ht="22.5" customHeight="1" hidden="1">
      <c r="A33" s="150">
        <v>70</v>
      </c>
      <c r="B33" s="151">
        <f>IF(ISNA(VLOOKUP(A33,'Проток.жеребк.'!$A:$G,5,FALSE)),"—",VLOOKUP(A33,'Проток.жеребк.'!$A:$G,5,FALSE))</f>
        <v>0</v>
      </c>
      <c r="C33" s="313">
        <f>IF(ISTEXT(D33),COUNTIF(D$14:D33,"&lt;&gt;0"),"")</f>
      </c>
      <c r="D33" s="315">
        <f>VLOOKUP(A33,'Іменні заявки'!$A:$J,7,FALSE)</f>
        <v>0</v>
      </c>
      <c r="E33" s="399"/>
      <c r="F33" s="398"/>
      <c r="G33" s="405">
        <v>0</v>
      </c>
      <c r="H33" s="399"/>
      <c r="I33" s="399"/>
      <c r="J33" s="399"/>
      <c r="K33" s="399"/>
      <c r="L33" s="399"/>
      <c r="M33" s="398"/>
      <c r="N33" s="405">
        <v>0</v>
      </c>
      <c r="O33" s="399"/>
      <c r="P33" s="399"/>
      <c r="Q33" s="399"/>
      <c r="R33" s="416"/>
      <c r="S33" s="409">
        <v>0</v>
      </c>
      <c r="T33" s="411">
        <f t="shared" si="0"/>
        <v>0</v>
      </c>
      <c r="U33" s="310">
        <f t="shared" si="1"/>
        <v>0</v>
      </c>
      <c r="V33" s="362">
        <f t="shared" si="2"/>
        <v>0</v>
      </c>
      <c r="W33" s="350">
        <f t="shared" si="3"/>
        <v>0</v>
      </c>
      <c r="X33" s="419"/>
      <c r="Y33" s="352">
        <f t="shared" si="4"/>
        <v>0</v>
      </c>
      <c r="Z33" s="311"/>
      <c r="AA33" s="316"/>
    </row>
    <row r="34" spans="1:27" ht="22.5" customHeight="1" hidden="1">
      <c r="A34" s="150">
        <v>160</v>
      </c>
      <c r="B34" s="151">
        <f>IF(ISNA(VLOOKUP(A34,'Проток.жеребк.'!$A:$G,5,FALSE)),"—",VLOOKUP(A34,'Проток.жеребк.'!$A:$G,5,FALSE))</f>
        <v>0</v>
      </c>
      <c r="C34" s="308">
        <f>IF(ISTEXT(D34),COUNTIF(D$14:D34,"&lt;&gt;0"),"")</f>
      </c>
      <c r="D34" s="309">
        <f>VLOOKUP(A34,'Іменні заявки'!$A:$J,7,FALSE)</f>
        <v>0</v>
      </c>
      <c r="E34" s="397"/>
      <c r="F34" s="398"/>
      <c r="G34" s="404">
        <v>0</v>
      </c>
      <c r="H34" s="399"/>
      <c r="I34" s="397"/>
      <c r="J34" s="399"/>
      <c r="K34" s="397"/>
      <c r="L34" s="399"/>
      <c r="M34" s="400"/>
      <c r="N34" s="405">
        <v>0</v>
      </c>
      <c r="O34" s="397"/>
      <c r="P34" s="399"/>
      <c r="Q34" s="397"/>
      <c r="R34" s="416"/>
      <c r="S34" s="409">
        <v>0</v>
      </c>
      <c r="T34" s="410">
        <f t="shared" si="0"/>
        <v>0</v>
      </c>
      <c r="U34" s="310">
        <f t="shared" si="1"/>
        <v>0</v>
      </c>
      <c r="V34" s="362">
        <f t="shared" si="2"/>
        <v>0</v>
      </c>
      <c r="W34" s="350">
        <f t="shared" si="3"/>
        <v>0</v>
      </c>
      <c r="X34" s="419"/>
      <c r="Y34" s="352">
        <f t="shared" si="4"/>
        <v>0</v>
      </c>
      <c r="Z34" s="311"/>
      <c r="AA34" s="312"/>
    </row>
    <row r="35" spans="1:27" ht="22.5" customHeight="1" hidden="1">
      <c r="A35" s="150">
        <v>100</v>
      </c>
      <c r="B35" s="151">
        <f>IF(ISNA(VLOOKUP(A35,'Проток.жеребк.'!$A:$G,5,FALSE)),"—",VLOOKUP(A35,'Проток.жеребк.'!$A:$G,5,FALSE))</f>
        <v>0</v>
      </c>
      <c r="C35" s="308">
        <f>IF(ISTEXT(D35),COUNTIF(D$14:D35,"&lt;&gt;0"),"")</f>
      </c>
      <c r="D35" s="309">
        <f>VLOOKUP(A35,'Іменні заявки'!$A:$J,7,FALSE)</f>
        <v>0</v>
      </c>
      <c r="E35" s="397"/>
      <c r="F35" s="398"/>
      <c r="G35" s="404">
        <v>0</v>
      </c>
      <c r="H35" s="399"/>
      <c r="I35" s="397"/>
      <c r="J35" s="399"/>
      <c r="K35" s="397"/>
      <c r="L35" s="399"/>
      <c r="M35" s="400"/>
      <c r="N35" s="405">
        <v>0</v>
      </c>
      <c r="O35" s="397"/>
      <c r="P35" s="399"/>
      <c r="Q35" s="397"/>
      <c r="R35" s="416"/>
      <c r="S35" s="409">
        <v>0</v>
      </c>
      <c r="T35" s="410">
        <f t="shared" si="0"/>
        <v>0</v>
      </c>
      <c r="U35" s="310">
        <f t="shared" si="1"/>
        <v>0</v>
      </c>
      <c r="V35" s="362">
        <f t="shared" si="2"/>
        <v>0</v>
      </c>
      <c r="W35" s="350">
        <f t="shared" si="3"/>
        <v>0</v>
      </c>
      <c r="X35" s="419"/>
      <c r="Y35" s="352">
        <f t="shared" si="4"/>
        <v>0</v>
      </c>
      <c r="Z35" s="311"/>
      <c r="AA35" s="312"/>
    </row>
    <row r="36" spans="1:27" ht="22.5" customHeight="1" hidden="1">
      <c r="A36" s="150">
        <v>30</v>
      </c>
      <c r="B36" s="151">
        <f>IF(ISNA(VLOOKUP(A36,'Проток.жеребк.'!$A:$G,5,FALSE)),"—",VLOOKUP(A36,'Проток.жеребк.'!$A:$G,5,FALSE))</f>
        <v>0</v>
      </c>
      <c r="C36" s="308">
        <f>IF(ISTEXT(D36),COUNTIF(D$14:D36,"&lt;&gt;0"),"")</f>
      </c>
      <c r="D36" s="309">
        <f>VLOOKUP(A36,'Іменні заявки'!$A:$J,7,FALSE)</f>
        <v>0</v>
      </c>
      <c r="E36" s="397"/>
      <c r="F36" s="398"/>
      <c r="G36" s="404">
        <v>0</v>
      </c>
      <c r="H36" s="399"/>
      <c r="I36" s="397"/>
      <c r="J36" s="399"/>
      <c r="K36" s="397"/>
      <c r="L36" s="399"/>
      <c r="M36" s="400"/>
      <c r="N36" s="405">
        <v>0</v>
      </c>
      <c r="O36" s="397"/>
      <c r="P36" s="399"/>
      <c r="Q36" s="397"/>
      <c r="R36" s="416"/>
      <c r="S36" s="409">
        <v>0</v>
      </c>
      <c r="T36" s="410">
        <f t="shared" si="0"/>
        <v>0</v>
      </c>
      <c r="U36" s="310">
        <f t="shared" si="1"/>
        <v>0</v>
      </c>
      <c r="V36" s="362">
        <f t="shared" si="2"/>
        <v>0</v>
      </c>
      <c r="W36" s="350">
        <f t="shared" si="3"/>
        <v>0</v>
      </c>
      <c r="X36" s="419"/>
      <c r="Y36" s="352">
        <f t="shared" si="4"/>
        <v>0</v>
      </c>
      <c r="Z36" s="311"/>
      <c r="AA36" s="312"/>
    </row>
    <row r="37" spans="1:27" ht="22.5" customHeight="1" hidden="1">
      <c r="A37" s="150">
        <v>40</v>
      </c>
      <c r="B37" s="151">
        <f>IF(ISNA(VLOOKUP(A37,'Проток.жеребк.'!$A:$G,5,FALSE)),"—",VLOOKUP(A37,'Проток.жеребк.'!$A:$G,5,FALSE))</f>
        <v>0</v>
      </c>
      <c r="C37" s="308">
        <f>IF(ISTEXT(D37),COUNTIF(D$14:D37,"&lt;&gt;0"),"")</f>
      </c>
      <c r="D37" s="309">
        <f>VLOOKUP(A37,'Іменні заявки'!$A:$J,7,FALSE)</f>
        <v>0</v>
      </c>
      <c r="E37" s="397"/>
      <c r="F37" s="398"/>
      <c r="G37" s="404">
        <v>0</v>
      </c>
      <c r="H37" s="399"/>
      <c r="I37" s="397"/>
      <c r="J37" s="399"/>
      <c r="K37" s="397"/>
      <c r="L37" s="399"/>
      <c r="M37" s="400"/>
      <c r="N37" s="405">
        <v>0</v>
      </c>
      <c r="O37" s="397"/>
      <c r="P37" s="399"/>
      <c r="Q37" s="397"/>
      <c r="R37" s="416"/>
      <c r="S37" s="409">
        <v>0</v>
      </c>
      <c r="T37" s="410">
        <f t="shared" si="0"/>
        <v>0</v>
      </c>
      <c r="U37" s="310">
        <f t="shared" si="1"/>
        <v>0</v>
      </c>
      <c r="V37" s="362">
        <f t="shared" si="2"/>
        <v>0</v>
      </c>
      <c r="W37" s="350">
        <f t="shared" si="3"/>
        <v>0</v>
      </c>
      <c r="X37" s="419"/>
      <c r="Y37" s="352">
        <f t="shared" si="4"/>
        <v>0</v>
      </c>
      <c r="Z37" s="311"/>
      <c r="AA37" s="312"/>
    </row>
    <row r="38" spans="1:27" ht="22.5" customHeight="1" hidden="1">
      <c r="A38" s="150">
        <v>150</v>
      </c>
      <c r="B38" s="151">
        <f>IF(ISNA(VLOOKUP(A38,'Проток.жеребк.'!$A:$G,5,FALSE)),"—",VLOOKUP(A38,'Проток.жеребк.'!$A:$G,5,FALSE))</f>
        <v>0</v>
      </c>
      <c r="C38" s="308">
        <f>IF(ISTEXT(D38),COUNTIF(D$14:D38,"&lt;&gt;0"),"")</f>
      </c>
      <c r="D38" s="309">
        <f>VLOOKUP(A38,'Іменні заявки'!$A:$J,7,FALSE)</f>
        <v>0</v>
      </c>
      <c r="E38" s="397"/>
      <c r="F38" s="398"/>
      <c r="G38" s="404">
        <v>0</v>
      </c>
      <c r="H38" s="399"/>
      <c r="I38" s="397"/>
      <c r="J38" s="399"/>
      <c r="K38" s="397"/>
      <c r="L38" s="399"/>
      <c r="M38" s="400"/>
      <c r="N38" s="405">
        <v>0</v>
      </c>
      <c r="O38" s="397"/>
      <c r="P38" s="399"/>
      <c r="Q38" s="397"/>
      <c r="R38" s="416"/>
      <c r="S38" s="409">
        <v>0</v>
      </c>
      <c r="T38" s="410">
        <f t="shared" si="0"/>
        <v>0</v>
      </c>
      <c r="U38" s="310">
        <f t="shared" si="1"/>
        <v>0</v>
      </c>
      <c r="V38" s="362">
        <f t="shared" si="2"/>
        <v>0</v>
      </c>
      <c r="W38" s="350">
        <f t="shared" si="3"/>
        <v>0</v>
      </c>
      <c r="X38" s="419"/>
      <c r="Y38" s="352">
        <f t="shared" si="4"/>
        <v>0</v>
      </c>
      <c r="Z38" s="311"/>
      <c r="AA38" s="312"/>
    </row>
    <row r="39" spans="1:27" ht="22.5" customHeight="1" hidden="1">
      <c r="A39" s="150">
        <v>200</v>
      </c>
      <c r="B39" s="151">
        <f>IF(ISNA(VLOOKUP(A39,'Проток.жеребк.'!$A:$G,5,FALSE)),"—",VLOOKUP(A39,'Проток.жеребк.'!$A:$G,5,FALSE))</f>
        <v>0</v>
      </c>
      <c r="C39" s="308">
        <f>IF(ISTEXT(D39),COUNTIF(D$14:D39,"&lt;&gt;0"),"")</f>
      </c>
      <c r="D39" s="309">
        <f>VLOOKUP(A39,'Іменні заявки'!$A:$J,7,FALSE)</f>
        <v>0</v>
      </c>
      <c r="E39" s="397"/>
      <c r="F39" s="398"/>
      <c r="G39" s="404">
        <v>0</v>
      </c>
      <c r="H39" s="399"/>
      <c r="I39" s="397"/>
      <c r="J39" s="399"/>
      <c r="K39" s="397"/>
      <c r="L39" s="399"/>
      <c r="M39" s="400"/>
      <c r="N39" s="405">
        <v>0</v>
      </c>
      <c r="O39" s="397"/>
      <c r="P39" s="399"/>
      <c r="Q39" s="397"/>
      <c r="R39" s="416"/>
      <c r="S39" s="409">
        <v>0</v>
      </c>
      <c r="T39" s="410">
        <f t="shared" si="0"/>
        <v>0</v>
      </c>
      <c r="U39" s="310">
        <f t="shared" si="1"/>
        <v>0</v>
      </c>
      <c r="V39" s="362">
        <f t="shared" si="2"/>
        <v>0</v>
      </c>
      <c r="W39" s="350">
        <f t="shared" si="3"/>
        <v>0</v>
      </c>
      <c r="X39" s="419"/>
      <c r="Y39" s="352">
        <f t="shared" si="4"/>
        <v>0</v>
      </c>
      <c r="Z39" s="311"/>
      <c r="AA39" s="312"/>
    </row>
    <row r="40" spans="1:27" ht="22.5" customHeight="1" hidden="1" thickBot="1">
      <c r="A40" s="150">
        <v>270</v>
      </c>
      <c r="B40" s="151">
        <f>IF(ISNA(VLOOKUP(A40,'Проток.жеребк.'!$A:$G,5,FALSE)),"—",VLOOKUP(A40,'Проток.жеребк.'!$A:$G,5,FALSE))</f>
        <v>0</v>
      </c>
      <c r="C40" s="363">
        <f>IF(ISTEXT(D40),COUNTIF(D$14:D40,"&lt;&gt;0"),"")</f>
      </c>
      <c r="D40" s="353">
        <f>VLOOKUP(A40,'Іменні заявки'!$A:$J,7,FALSE)</f>
        <v>0</v>
      </c>
      <c r="E40" s="401"/>
      <c r="F40" s="402"/>
      <c r="G40" s="406">
        <v>0</v>
      </c>
      <c r="H40" s="401"/>
      <c r="I40" s="401"/>
      <c r="J40" s="401"/>
      <c r="K40" s="401"/>
      <c r="L40" s="401"/>
      <c r="M40" s="402"/>
      <c r="N40" s="406">
        <v>0</v>
      </c>
      <c r="O40" s="401"/>
      <c r="P40" s="401"/>
      <c r="Q40" s="401"/>
      <c r="R40" s="418"/>
      <c r="S40" s="412">
        <v>0</v>
      </c>
      <c r="T40" s="413">
        <f t="shared" si="0"/>
        <v>0</v>
      </c>
      <c r="U40" s="354">
        <f t="shared" si="1"/>
        <v>0</v>
      </c>
      <c r="V40" s="414">
        <f t="shared" si="2"/>
        <v>0</v>
      </c>
      <c r="W40" s="361">
        <f t="shared" si="3"/>
        <v>0</v>
      </c>
      <c r="X40" s="420"/>
      <c r="Y40" s="354">
        <f t="shared" si="4"/>
        <v>0</v>
      </c>
      <c r="Z40" s="355"/>
      <c r="AA40" s="356"/>
    </row>
    <row r="41" spans="3:26" ht="33" customHeight="1"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</row>
    <row r="42" spans="3:18" ht="22.5" customHeight="1">
      <c r="C42" s="318" t="str">
        <f>"Головний суддя _______________ "&amp;'Іменні заявки'!$C$6&amp;"      Головний секретар_______________ "&amp;'Іменні заявки'!$C$7</f>
        <v>Головний суддя _______________ Гринчук В.В.      Головний секретар_______________ Кіретова І.О.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</row>
    <row r="43" spans="3:18" ht="22.5" customHeight="1">
      <c r="C43" s="318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</row>
    <row r="44" spans="5:17" ht="22.5" customHeight="1">
      <c r="E44" s="314" t="s">
        <v>90</v>
      </c>
      <c r="G44" s="314" t="s">
        <v>90</v>
      </c>
      <c r="I44" s="314" t="s">
        <v>90</v>
      </c>
      <c r="K44" s="314" t="s">
        <v>90</v>
      </c>
      <c r="M44" s="314" t="s">
        <v>90</v>
      </c>
      <c r="O44" s="314" t="s">
        <v>90</v>
      </c>
      <c r="Q44" s="314" t="s">
        <v>90</v>
      </c>
    </row>
    <row r="45" spans="3:18" ht="130.5" customHeight="1"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</row>
    <row r="48" ht="67.5">
      <c r="E48" s="312" t="s">
        <v>257</v>
      </c>
    </row>
    <row r="49" ht="56.25">
      <c r="E49" s="312" t="s">
        <v>258</v>
      </c>
    </row>
    <row r="50" ht="67.5">
      <c r="E50" s="312" t="s">
        <v>259</v>
      </c>
    </row>
  </sheetData>
  <sheetProtection/>
  <mergeCells count="31">
    <mergeCell ref="A10:A13"/>
    <mergeCell ref="B10:B13"/>
    <mergeCell ref="C10:C13"/>
    <mergeCell ref="D10:D13"/>
    <mergeCell ref="I10:I12"/>
    <mergeCell ref="K10:K12"/>
    <mergeCell ref="C45:R45"/>
    <mergeCell ref="U10:U13"/>
    <mergeCell ref="S10:S13"/>
    <mergeCell ref="AA10:AA13"/>
    <mergeCell ref="T10:T13"/>
    <mergeCell ref="M10:N12"/>
    <mergeCell ref="J10:J12"/>
    <mergeCell ref="O10:O12"/>
    <mergeCell ref="C1:AA1"/>
    <mergeCell ref="C2:AA2"/>
    <mergeCell ref="C3:AA3"/>
    <mergeCell ref="C4:AA4"/>
    <mergeCell ref="X10:X13"/>
    <mergeCell ref="E10:E12"/>
    <mergeCell ref="P10:P12"/>
    <mergeCell ref="Z10:Z13"/>
    <mergeCell ref="H10:H12"/>
    <mergeCell ref="V10:V13"/>
    <mergeCell ref="C6:Z6"/>
    <mergeCell ref="F10:G12"/>
    <mergeCell ref="Y10:Y13"/>
    <mergeCell ref="Q10:Q12"/>
    <mergeCell ref="R10:R12"/>
    <mergeCell ref="W10:W13"/>
    <mergeCell ref="L10:L13"/>
  </mergeCells>
  <printOptions horizontalCentered="1"/>
  <pageMargins left="0.1968503937007874" right="0.1968503937007874" top="0.7874015748031497" bottom="0.1968503937007874" header="0" footer="0"/>
  <pageSetup fitToHeight="1" fitToWidth="1"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55"/>
  <sheetViews>
    <sheetView view="pageBreakPreview" zoomScale="90" zoomScaleSheetLayoutView="90" workbookViewId="0" topLeftCell="A97">
      <selection activeCell="B4" sqref="B1:B16384"/>
    </sheetView>
  </sheetViews>
  <sheetFormatPr defaultColWidth="9.00390625" defaultRowHeight="12.75"/>
  <cols>
    <col min="1" max="1" width="4.625" style="0" customWidth="1"/>
    <col min="2" max="2" width="5.75390625" style="0" hidden="1" customWidth="1"/>
    <col min="3" max="3" width="40.875" style="0" customWidth="1"/>
    <col min="4" max="4" width="11.125" style="46" customWidth="1"/>
    <col min="5" max="5" width="10.00390625" style="46" customWidth="1"/>
    <col min="6" max="6" width="11.25390625" style="46" customWidth="1"/>
    <col min="7" max="7" width="8.00390625" style="46" customWidth="1"/>
    <col min="8" max="8" width="20.25390625" style="0" customWidth="1"/>
    <col min="9" max="9" width="21.875" style="0" customWidth="1"/>
    <col min="10" max="10" width="11.125" style="0" hidden="1" customWidth="1"/>
    <col min="11" max="11" width="7.75390625" style="0" customWidth="1"/>
    <col min="12" max="12" width="17.875" style="0" customWidth="1"/>
    <col min="13" max="14" width="6.75390625" style="0" customWidth="1"/>
    <col min="15" max="15" width="6.75390625" style="89" customWidth="1"/>
    <col min="16" max="16" width="6.75390625" style="0" customWidth="1"/>
    <col min="17" max="17" width="7.875" style="0" customWidth="1"/>
    <col min="18" max="18" width="6.75390625" style="0" customWidth="1"/>
    <col min="19" max="19" width="8.25390625" style="0" customWidth="1"/>
    <col min="20" max="21" width="6.75390625" style="0" customWidth="1"/>
  </cols>
  <sheetData>
    <row r="1" spans="1:15" ht="11.25" customHeight="1">
      <c r="A1" s="524" t="str">
        <f>'Іменні заявки'!C1</f>
        <v>Департамент освіти і науки Хмельницької обласної державної адміністрації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O1"/>
    </row>
    <row r="2" spans="1:15" ht="11.25" customHeight="1">
      <c r="A2" s="524" t="str">
        <f>'Іменні заявки'!C2</f>
        <v>ХМЕЛЬНИЦЬКИЙ ОБЛАСНИЙ ЦЕНТР ТУРИЗМУ І КРАЄЗНАВСТВА УЧНІВСЬКОЇ МОЛОДІ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O2"/>
    </row>
    <row r="3" spans="1:15" ht="12.75">
      <c r="A3" s="525" t="s">
        <v>286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O3"/>
    </row>
    <row r="4" spans="1:15" ht="12.75">
      <c r="A4" s="69" t="s">
        <v>342</v>
      </c>
      <c r="D4"/>
      <c r="E4"/>
      <c r="F4"/>
      <c r="G4"/>
      <c r="O4"/>
    </row>
    <row r="5" spans="1:15" ht="12.75">
      <c r="A5" s="69" t="s">
        <v>348</v>
      </c>
      <c r="D5"/>
      <c r="E5"/>
      <c r="F5"/>
      <c r="G5"/>
      <c r="O5"/>
    </row>
    <row r="6" spans="1:15" ht="12.75">
      <c r="A6" s="69" t="s">
        <v>343</v>
      </c>
      <c r="D6"/>
      <c r="E6"/>
      <c r="F6"/>
      <c r="G6"/>
      <c r="O6"/>
    </row>
    <row r="7" spans="1:15" ht="12.75">
      <c r="A7" s="69" t="s">
        <v>287</v>
      </c>
      <c r="D7"/>
      <c r="E7"/>
      <c r="F7"/>
      <c r="G7"/>
      <c r="H7" s="70" t="s">
        <v>146</v>
      </c>
      <c r="I7" s="100">
        <f>SUM(O14:O49)/6*4</f>
        <v>502.6666666666667</v>
      </c>
      <c r="O7"/>
    </row>
    <row r="8" spans="1:15" ht="12.75">
      <c r="A8" s="298" t="s">
        <v>344</v>
      </c>
      <c r="B8" s="158"/>
      <c r="C8" s="158"/>
      <c r="D8"/>
      <c r="E8"/>
      <c r="F8"/>
      <c r="G8"/>
      <c r="O8"/>
    </row>
    <row r="9" spans="1:15" ht="12.75">
      <c r="A9" s="69" t="s">
        <v>131</v>
      </c>
      <c r="D9"/>
      <c r="E9"/>
      <c r="F9"/>
      <c r="G9"/>
      <c r="O9"/>
    </row>
    <row r="10" spans="1:15" ht="7.5" customHeight="1" thickBot="1">
      <c r="A10" s="69"/>
      <c r="D10"/>
      <c r="E10"/>
      <c r="F10"/>
      <c r="G10"/>
      <c r="O10"/>
    </row>
    <row r="11" spans="1:20" ht="54.75" customHeight="1" thickTop="1">
      <c r="A11" s="518" t="s">
        <v>132</v>
      </c>
      <c r="B11" s="526" t="s">
        <v>28</v>
      </c>
      <c r="C11" s="486" t="s">
        <v>133</v>
      </c>
      <c r="D11" s="518" t="s">
        <v>134</v>
      </c>
      <c r="E11" s="486" t="s">
        <v>155</v>
      </c>
      <c r="F11" s="518" t="s">
        <v>135</v>
      </c>
      <c r="G11" s="518" t="s">
        <v>32</v>
      </c>
      <c r="H11" s="486" t="s">
        <v>147</v>
      </c>
      <c r="I11" s="486" t="s">
        <v>40</v>
      </c>
      <c r="J11" s="516" t="s">
        <v>136</v>
      </c>
      <c r="K11" s="518" t="s">
        <v>137</v>
      </c>
      <c r="L11" s="486" t="s">
        <v>138</v>
      </c>
      <c r="O11"/>
      <c r="Q11" s="520" t="s">
        <v>120</v>
      </c>
      <c r="R11" s="521"/>
      <c r="S11" s="320" t="s">
        <v>271</v>
      </c>
      <c r="T11" s="139" t="s">
        <v>122</v>
      </c>
    </row>
    <row r="12" spans="1:20" ht="43.5" customHeight="1" thickBot="1">
      <c r="A12" s="519"/>
      <c r="B12" s="527"/>
      <c r="C12" s="506"/>
      <c r="D12" s="519"/>
      <c r="E12" s="506"/>
      <c r="F12" s="519"/>
      <c r="G12" s="519"/>
      <c r="H12" s="506"/>
      <c r="I12" s="506"/>
      <c r="J12" s="517"/>
      <c r="K12" s="519"/>
      <c r="L12" s="506"/>
      <c r="O12"/>
      <c r="Q12" s="522" t="s">
        <v>112</v>
      </c>
      <c r="R12" s="523"/>
      <c r="S12" s="140">
        <f>$I$7</f>
        <v>502.6666666666667</v>
      </c>
      <c r="T12" s="119"/>
    </row>
    <row r="13" spans="1:20" ht="15.75" customHeight="1" thickBot="1">
      <c r="A13" s="72">
        <v>1</v>
      </c>
      <c r="B13" s="72"/>
      <c r="C13" s="72">
        <v>2</v>
      </c>
      <c r="D13" s="72">
        <v>3</v>
      </c>
      <c r="E13" s="72"/>
      <c r="F13" s="73">
        <v>4</v>
      </c>
      <c r="G13" s="73">
        <v>5</v>
      </c>
      <c r="H13" s="72">
        <v>6</v>
      </c>
      <c r="I13" s="71">
        <v>7</v>
      </c>
      <c r="J13" s="71">
        <v>8</v>
      </c>
      <c r="K13" s="71">
        <v>9</v>
      </c>
      <c r="L13" s="72">
        <v>10</v>
      </c>
      <c r="O13"/>
      <c r="Q13" s="122"/>
      <c r="R13" s="123">
        <f>VLOOKUP($S$12,'ЄСКУ_Сп.тур.'!$B$8:$G$41,1,TRUE)</f>
        <v>500</v>
      </c>
      <c r="S13" s="124">
        <f>S12</f>
        <v>502.6666666666667</v>
      </c>
      <c r="T13" s="125">
        <f>INDEX('ЄСКУ_Сп.тур.'!$B$8:$G$41,MATCH($S$12,'ЄСКУ_Сп.тур.'!$B$8:$B$40,1)+1,1)</f>
        <v>630</v>
      </c>
    </row>
    <row r="14" spans="1:20" ht="12.75" customHeight="1">
      <c r="A14" s="486" t="s">
        <v>70</v>
      </c>
      <c r="B14" s="54">
        <v>251</v>
      </c>
      <c r="C14" s="74" t="str">
        <f>VLOOKUP($B14,'Іменні заявки'!$A:$J,2,FALSE)</f>
        <v>Габай Юрій Васильович</v>
      </c>
      <c r="D14" s="75">
        <f>VLOOKUP($B14,'Іменні заявки'!$A:$J,3,FALSE)</f>
        <v>30457</v>
      </c>
      <c r="E14" s="76" t="str">
        <f>VLOOKUP($B14,'Іменні заявки'!$A:$J,4,FALSE)</f>
        <v>КМСУ</v>
      </c>
      <c r="F14" s="507">
        <f>VLOOKUP($B14-RIGHT($B14,1),'Прот.рез.Кр.-пох.'!$A:$AA,25,FALSE)</f>
        <v>0.08583333333333333</v>
      </c>
      <c r="G14" s="510">
        <f>IF(ISERROR($F14),"—",IF(OR(ISTEXT($F14),$F14=""),"—",IF(VLOOKUP($B14-RIGHT($B14,1),'Проток.рез.КСП'!A:Y,25,FALSE)&lt;&gt;"",VLOOKUP($B14-RIGHT($B14,1),'Проток.рез.КСП'!A:Y,25,FALSE),ROUND($F14/$F$14*100,2))))</f>
        <v>100</v>
      </c>
      <c r="H14" s="513" t="str">
        <f>VLOOKUP($B14,'Іменні заявки'!$A:$J,8,FALSE)</f>
        <v>м.Хмельницький</v>
      </c>
      <c r="I14" s="513" t="str">
        <f>VLOOKUP($B14,'Іменні заявки'!$A:$J,7,FALSE)</f>
        <v>м.Хмельницького</v>
      </c>
      <c r="J14" s="513">
        <f>VLOOKUP($B14,'Іменні заявки'!$A:$J,9,FALSE)</f>
      </c>
      <c r="K14" s="53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КМСУ</v>
      </c>
      <c r="L14" s="77" t="str">
        <f>VLOOKUP($B14,'Іменні заявки'!$A:$J,10,FALSE)</f>
        <v>Флік А.А.</v>
      </c>
      <c r="O14" s="99">
        <f>IF(E14="МСУ",100,IF(E14="КМСУ",30,IF(E14="І",10,IF(E14="ІІ",3,IF(OR(E14="ІІІ",E14="І юн"),1,IF(E14="ІІ юн",0.3,IF(E14="ІІІ юн",0.1,0)))))))</f>
        <v>30</v>
      </c>
      <c r="Q14" s="128" t="s">
        <v>37</v>
      </c>
      <c r="R14" s="123">
        <f>VLOOKUP($S$12,'ЄСКУ_Сп.тур.'!$B$8:$G$41,2,TRUE)</f>
        <v>111</v>
      </c>
      <c r="S14" s="129">
        <f>IF(OR($S$12&lt;200,$S$11="I",$S$11="II",$S$11="III",ISERROR(R14+(T14-R14)/($T$13-$R$13)*($S$13-$R$13))),"—",ROUND(R14+(T14-R14)/($T$13-$R$13)*($S$13-$R$13),2))</f>
        <v>111.06</v>
      </c>
      <c r="T14" s="125">
        <f>VLOOKUP($T$13,'ЄСКУ_Сп.тур.'!$B$8:$G$41,2,TRUE)</f>
        <v>114</v>
      </c>
    </row>
    <row r="15" spans="1:20" ht="12.75" customHeight="1">
      <c r="A15" s="487"/>
      <c r="B15" s="56">
        <v>252</v>
      </c>
      <c r="C15" s="79" t="str">
        <f>VLOOKUP($B15,'Іменні заявки'!$A:$J,2,FALSE)</f>
        <v>Мулько Михайло Володимиович</v>
      </c>
      <c r="D15" s="80">
        <f>VLOOKUP($B15,'Іменні заявки'!$A:$J,3,FALSE)</f>
        <v>30642</v>
      </c>
      <c r="E15" s="81" t="str">
        <f>VLOOKUP($B15,'Іменні заявки'!$A:$J,4,FALSE)</f>
        <v>КМСУ</v>
      </c>
      <c r="F15" s="508"/>
      <c r="G15" s="511"/>
      <c r="H15" s="514"/>
      <c r="I15" s="514"/>
      <c r="J15" s="514"/>
      <c r="K15" s="55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КМСУ</v>
      </c>
      <c r="L15" s="82" t="str">
        <f>VLOOKUP($B15,'Іменні заявки'!$A:$J,10,FALSE)</f>
        <v>Флік А.А.</v>
      </c>
      <c r="O15" s="99">
        <f aca="true" t="shared" si="0" ref="O15:O49">IF(E15="МСУ",100,IF(E15="КМСУ",30,IF(E15="І",10,IF(E15="ІІ",3,IF(OR(E15="ІІІ",E15="І юн"),1,IF(E15="ІІ юн",0.3,IF(E15="ІІІ юн",0.1,0)))))))</f>
        <v>30</v>
      </c>
      <c r="Q15" s="128" t="s">
        <v>93</v>
      </c>
      <c r="R15" s="123">
        <f>VLOOKUP($S$12,'ЄСКУ_Сп.тур.'!$B$8:$G$41,3,TRUE)</f>
        <v>126</v>
      </c>
      <c r="S15" s="129">
        <f>IF(OR($S$11="I",$S$11="II",ISERROR(R15+(T15-R15)/($T$13-$R$13)*($S$13-$R$13))),"—",ROUND(R15+(T15-R15)/($T$13-$R$13)*($S$13-$R$13),2))</f>
        <v>126.06</v>
      </c>
      <c r="T15" s="125">
        <f>VLOOKUP($T$13,'ЄСКУ_Сп.тур.'!$B$8:$G$41,3,TRUE)</f>
        <v>129</v>
      </c>
    </row>
    <row r="16" spans="1:20" ht="12.75" customHeight="1">
      <c r="A16" s="487"/>
      <c r="B16" s="56">
        <v>253</v>
      </c>
      <c r="C16" s="79" t="str">
        <f>VLOOKUP($B16,'Іменні заявки'!$A:$J,2,FALSE)</f>
        <v>Батажук Андрій Ігорович</v>
      </c>
      <c r="D16" s="80">
        <f>VLOOKUP($B16,'Іменні заявки'!$A:$J,3,FALSE)</f>
        <v>34544</v>
      </c>
      <c r="E16" s="81" t="str">
        <f>VLOOKUP($B16,'Іменні заявки'!$A:$J,4,FALSE)</f>
        <v>КМСУ</v>
      </c>
      <c r="F16" s="508"/>
      <c r="G16" s="511"/>
      <c r="H16" s="514"/>
      <c r="I16" s="514"/>
      <c r="J16" s="514"/>
      <c r="K16" s="55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КМСУ</v>
      </c>
      <c r="L16" s="82" t="str">
        <f>VLOOKUP($B16,'Іменні заявки'!$A:$J,10,FALSE)</f>
        <v>Флік А.А.</v>
      </c>
      <c r="O16" s="99">
        <f>IF(E16="МСУ",100,IF(E16="КМСУ",30,IF(E16="І",10,IF(E16="ІІ",3,IF(OR(E16="ІІІ",E16="І юн"),1,IF(E16="ІІ юн",0.3,IF(E16="ІІІ юн",0.1,0)))))))</f>
        <v>30</v>
      </c>
      <c r="Q16" s="128" t="s">
        <v>95</v>
      </c>
      <c r="R16" s="123">
        <f>VLOOKUP($S$12,'ЄСКУ_Сп.тур.'!$B$8:$G$41,4,TRUE)</f>
        <v>146</v>
      </c>
      <c r="S16" s="129">
        <f>IF(OR($S$11="I",ISERROR(R16+(T16-R16)/($T$13-$R$13)*($S$13-$R$13))),"—",ROUND(R16+(T16-R16)/($T$13-$R$13)*($S$13-$R$13),2))</f>
        <v>146.08</v>
      </c>
      <c r="T16" s="125">
        <f>VLOOKUP($T$13,'ЄСКУ_Сп.тур.'!$B$8:$G$41,4,TRUE)</f>
        <v>150</v>
      </c>
    </row>
    <row r="17" spans="1:20" ht="12.75" customHeight="1">
      <c r="A17" s="487"/>
      <c r="B17" s="56">
        <v>255</v>
      </c>
      <c r="C17" s="79" t="str">
        <f>VLOOKUP($B17,'Іменні заявки'!$A:$J,2,FALSE)</f>
        <v>Бондар Андрій Вікторович</v>
      </c>
      <c r="D17" s="80">
        <f>VLOOKUP($B17,'Іменні заявки'!$A:$J,3,FALSE)</f>
        <v>34933</v>
      </c>
      <c r="E17" s="81" t="str">
        <f>VLOOKUP($B17,'Іменні заявки'!$A:$J,4,FALSE)</f>
        <v>ІІ</v>
      </c>
      <c r="F17" s="508"/>
      <c r="G17" s="511"/>
      <c r="H17" s="514"/>
      <c r="I17" s="514"/>
      <c r="J17" s="514"/>
      <c r="K17" s="55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КМСУ</v>
      </c>
      <c r="L17" s="82" t="str">
        <f>VLOOKUP($B17,'Іменні заявки'!$A:$J,10,FALSE)</f>
        <v>Флік А.А.</v>
      </c>
      <c r="O17" s="99">
        <f t="shared" si="0"/>
        <v>3</v>
      </c>
      <c r="Q17" s="128" t="s">
        <v>94</v>
      </c>
      <c r="R17" s="123">
        <f>VLOOKUP($S$12,'ЄСКУ_Сп.тур.'!$B$8:$G$41,5,TRUE)</f>
        <v>186</v>
      </c>
      <c r="S17" s="129" t="str">
        <f>IF(ISERROR(R17+(T17-R17)/($T$13-$R$13)*($S$13-$R$13)),"—",ROUND(R17+(T17-R17)/($T$13-$R$13)*($S$13-$R$13),2))</f>
        <v>—</v>
      </c>
      <c r="T17" s="125" t="str">
        <f>VLOOKUP($T$13,'ЄСКУ_Сп.тур.'!$B$8:$G$41,5,TRUE)</f>
        <v>-</v>
      </c>
    </row>
    <row r="18" spans="1:20" ht="12.75" customHeight="1">
      <c r="A18" s="487"/>
      <c r="B18" s="56">
        <v>254</v>
      </c>
      <c r="C18" s="79" t="str">
        <f>VLOOKUP($B18,'Іменні заявки'!$A:$J,2,FALSE)</f>
        <v>Євтодій Максим Сергійович</v>
      </c>
      <c r="D18" s="80">
        <f>VLOOKUP($B18,'Іменні заявки'!$A:$J,3,FALSE)</f>
        <v>34954</v>
      </c>
      <c r="E18" s="81" t="str">
        <f>VLOOKUP($B18,'Іменні заявки'!$A:$J,4,FALSE)</f>
        <v>КМСУ</v>
      </c>
      <c r="F18" s="508"/>
      <c r="G18" s="511"/>
      <c r="H18" s="514"/>
      <c r="I18" s="514"/>
      <c r="J18" s="514"/>
      <c r="K18" s="55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КМСУ</v>
      </c>
      <c r="L18" s="82" t="str">
        <f>VLOOKUP($B18,'Іменні заявки'!$A:$J,10,FALSE)</f>
        <v>Флік А.А.</v>
      </c>
      <c r="O18" s="99">
        <f t="shared" si="0"/>
        <v>30</v>
      </c>
      <c r="Q18" s="128" t="s">
        <v>123</v>
      </c>
      <c r="R18" s="123">
        <f>VLOOKUP($S$12,'ЄСКУ_Сп.тур.'!$B$8:$G$41,5,TRUE)</f>
        <v>186</v>
      </c>
      <c r="S18" s="129" t="str">
        <f>IF(ISERROR(R18+(T18-R18)/($T$13-$R$13)*($S$13-$R$13)),"—",ROUND(R18+(T18-R18)/($T$13-$R$13)*($S$13-$R$13),2))</f>
        <v>—</v>
      </c>
      <c r="T18" s="125" t="str">
        <f>VLOOKUP($T$13,'ЄСКУ_Сп.тур.'!$B$8:$G$41,5,TRUE)</f>
        <v>-</v>
      </c>
    </row>
    <row r="19" spans="1:20" ht="12.75" customHeight="1" thickBot="1">
      <c r="A19" s="506"/>
      <c r="B19" s="83">
        <v>256</v>
      </c>
      <c r="C19" s="84" t="str">
        <f>VLOOKUP($B19,'Іменні заявки'!$A:$J,2,FALSE)</f>
        <v>Соболевська Інні Петрівна</v>
      </c>
      <c r="D19" s="85">
        <f>VLOOKUP($B19,'Іменні заявки'!$A:$J,3,FALSE)</f>
        <v>34284</v>
      </c>
      <c r="E19" s="86" t="str">
        <f>VLOOKUP($B19,'Іменні заявки'!$A:$J,4,FALSE)</f>
        <v>б/р</v>
      </c>
      <c r="F19" s="509"/>
      <c r="G19" s="512"/>
      <c r="H19" s="515"/>
      <c r="I19" s="515"/>
      <c r="J19" s="515"/>
      <c r="K19" s="87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КМСУ</v>
      </c>
      <c r="L19" s="88" t="str">
        <f>VLOOKUP($B19,'Іменні заявки'!$A:$J,10,FALSE)</f>
        <v>Флік А.А.</v>
      </c>
      <c r="O19" s="99">
        <f t="shared" si="0"/>
        <v>0</v>
      </c>
      <c r="Q19" s="130" t="s">
        <v>124</v>
      </c>
      <c r="R19" s="131" t="str">
        <f>VLOOKUP($S$12,'ЄСКУ_Сп.тур.'!$B$8:$G$41,6,TRUE)</f>
        <v>-</v>
      </c>
      <c r="S19" s="132" t="str">
        <f>IF(ISERROR(R19+(T19-R19)/($T$13-$R$13)*($S$13-$R$13)),"—",ROUND(R19+(T19-R19)/($T$13-$R$13)*($S$13-$R$13),2))</f>
        <v>—</v>
      </c>
      <c r="T19" s="133" t="str">
        <f>VLOOKUP($T$13,'ЄСКУ_Сп.тур.'!$B$8:$G$41,6,TRUE)</f>
        <v>-</v>
      </c>
    </row>
    <row r="20" spans="1:15" ht="12.75" customHeight="1">
      <c r="A20" s="486" t="s">
        <v>71</v>
      </c>
      <c r="B20" s="54">
        <v>191</v>
      </c>
      <c r="C20" s="74" t="str">
        <f>VLOOKUP($B20,'Іменні заявки'!$A:$J,2,FALSE)</f>
        <v>Яворський Володимир Миколайович</v>
      </c>
      <c r="D20" s="75">
        <f>VLOOKUP($B20,'Іменні заявки'!$A:$J,3,FALSE)</f>
        <v>28012</v>
      </c>
      <c r="E20" s="76" t="str">
        <f>VLOOKUP($B20,'Іменні заявки'!$A:$J,4,FALSE)</f>
        <v>КМСУ</v>
      </c>
      <c r="F20" s="507">
        <f>VLOOKUP($B20-RIGHT($B20,1),'Прот.рез.Кр.-пох.'!$A:$AA,25,FALSE)</f>
        <v>0.086875</v>
      </c>
      <c r="G20" s="510">
        <f>IF(ISERROR($F20),"—",IF(OR(ISTEXT($F20),$F20=""),"—",IF(VLOOKUP($B20-RIGHT($B20,1),'Проток.рез.КСП'!A:Y,25,FALSE)&lt;&gt;"",VLOOKUP($B20-RIGHT($B20,1),'Проток.рез.КСП'!A:Y,25,FALSE),ROUND($F20/$F$14*100,2))))</f>
        <v>101.21</v>
      </c>
      <c r="H20" s="513" t="str">
        <f>VLOOKUP($B20,'Іменні заявки'!$A:$J,8,FALSE)</f>
        <v>Шепетівський р-н</v>
      </c>
      <c r="I20" s="513" t="str">
        <f>VLOOKUP($B20,'Іменні заявки'!$A:$J,7,FALSE)</f>
        <v>Шепетівського р-ну</v>
      </c>
      <c r="J20" s="513">
        <f>VLOOKUP($B20,'Іменні заявки'!$A:$J,9,FALSE)</f>
      </c>
      <c r="K20" s="53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КМСУ</v>
      </c>
      <c r="L20" s="77" t="str">
        <f>VLOOKUP($B20,'Іменні заявки'!$A:$J,10,FALSE)</f>
        <v>Варава В.М.</v>
      </c>
      <c r="O20" s="99">
        <f t="shared" si="0"/>
        <v>30</v>
      </c>
    </row>
    <row r="21" spans="1:15" ht="12.75" customHeight="1">
      <c r="A21" s="487"/>
      <c r="B21" s="56">
        <v>192</v>
      </c>
      <c r="C21" s="79" t="str">
        <f>VLOOKUP($B21,'Іменні заявки'!$A:$J,2,FALSE)</f>
        <v>Яворський Олег Віталійович</v>
      </c>
      <c r="D21" s="80">
        <f>VLOOKUP($B21,'Іменні заявки'!$A:$J,3,FALSE)</f>
        <v>32041</v>
      </c>
      <c r="E21" s="81" t="str">
        <f>VLOOKUP($B21,'Іменні заявки'!$A:$J,4,FALSE)</f>
        <v>КМСУ</v>
      </c>
      <c r="F21" s="508"/>
      <c r="G21" s="511"/>
      <c r="H21" s="514"/>
      <c r="I21" s="514"/>
      <c r="J21" s="514"/>
      <c r="K21" s="55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КМСУ</v>
      </c>
      <c r="L21" s="82" t="str">
        <f>VLOOKUP($B21,'Іменні заявки'!$A:$J,10,FALSE)</f>
        <v>Яворський В.М.</v>
      </c>
      <c r="O21" s="99">
        <f t="shared" si="0"/>
        <v>30</v>
      </c>
    </row>
    <row r="22" spans="1:15" ht="12.75" customHeight="1">
      <c r="A22" s="487"/>
      <c r="B22" s="56">
        <v>193</v>
      </c>
      <c r="C22" s="79" t="str">
        <f>VLOOKUP($B22,'Іменні заявки'!$A:$J,2,FALSE)</f>
        <v>Швець Віталій Васильович</v>
      </c>
      <c r="D22" s="80">
        <f>VLOOKUP($B22,'Іменні заявки'!$A:$J,3,FALSE)</f>
        <v>30947</v>
      </c>
      <c r="E22" s="81" t="str">
        <f>VLOOKUP($B22,'Іменні заявки'!$A:$J,4,FALSE)</f>
        <v>КМСУ</v>
      </c>
      <c r="F22" s="508"/>
      <c r="G22" s="511"/>
      <c r="H22" s="514"/>
      <c r="I22" s="514"/>
      <c r="J22" s="514"/>
      <c r="K22" s="55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КМСУ</v>
      </c>
      <c r="L22" s="82" t="str">
        <f>VLOOKUP($B22,'Іменні заявки'!$A:$J,10,FALSE)</f>
        <v>Яворський В.М.</v>
      </c>
      <c r="O22" s="99">
        <f t="shared" si="0"/>
        <v>30</v>
      </c>
    </row>
    <row r="23" spans="1:15" ht="12.75" customHeight="1">
      <c r="A23" s="487"/>
      <c r="B23" s="56">
        <v>194</v>
      </c>
      <c r="C23" s="79" t="str">
        <f>VLOOKUP($B23,'Іменні заявки'!$A:$J,2,FALSE)</f>
        <v>Василишин Віталій Іванович</v>
      </c>
      <c r="D23" s="80">
        <f>VLOOKUP($B23,'Іменні заявки'!$A:$J,3,FALSE)</f>
        <v>30473</v>
      </c>
      <c r="E23" s="81" t="str">
        <f>VLOOKUP($B23,'Іменні заявки'!$A:$J,4,FALSE)</f>
        <v>КМСУ</v>
      </c>
      <c r="F23" s="508"/>
      <c r="G23" s="511"/>
      <c r="H23" s="514"/>
      <c r="I23" s="514"/>
      <c r="J23" s="514"/>
      <c r="K23" s="55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КМСУ</v>
      </c>
      <c r="L23" s="82" t="str">
        <f>VLOOKUP($B23,'Іменні заявки'!$A:$J,10,FALSE)</f>
        <v>Яворський В.М.</v>
      </c>
      <c r="O23" s="99">
        <f t="shared" si="0"/>
        <v>30</v>
      </c>
    </row>
    <row r="24" spans="1:15" ht="12.75" customHeight="1">
      <c r="A24" s="487"/>
      <c r="B24" s="56">
        <v>196</v>
      </c>
      <c r="C24" s="79" t="str">
        <f>VLOOKUP($B24,'Іменні заявки'!$A:$J,2,FALSE)</f>
        <v>Поліщук Віктор Аркадійович</v>
      </c>
      <c r="D24" s="80">
        <f>VLOOKUP($B24,'Іменні заявки'!$A:$J,3,FALSE)</f>
        <v>33413</v>
      </c>
      <c r="E24" s="81" t="str">
        <f>VLOOKUP($B24,'Іменні заявки'!$A:$J,4,FALSE)</f>
        <v>КМСУ</v>
      </c>
      <c r="F24" s="508"/>
      <c r="G24" s="511"/>
      <c r="H24" s="514"/>
      <c r="I24" s="514"/>
      <c r="J24" s="514"/>
      <c r="K24" s="55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КМСУ</v>
      </c>
      <c r="L24" s="82" t="str">
        <f>VLOOKUP($B24,'Іменні заявки'!$A:$J,10,FALSE)</f>
        <v>Яворський В.М.</v>
      </c>
      <c r="O24" s="99">
        <f t="shared" si="0"/>
        <v>30</v>
      </c>
    </row>
    <row r="25" spans="1:15" ht="12.75" customHeight="1" thickBot="1">
      <c r="A25" s="506"/>
      <c r="B25" s="83">
        <v>197</v>
      </c>
      <c r="C25" s="84" t="str">
        <f>VLOOKUP($B25,'Іменні заявки'!$A:$J,2,FALSE)</f>
        <v>Швець Аліна Василівна</v>
      </c>
      <c r="D25" s="85">
        <f>VLOOKUP($B25,'Іменні заявки'!$A:$J,3,FALSE)</f>
        <v>33236</v>
      </c>
      <c r="E25" s="86" t="str">
        <f>VLOOKUP($B25,'Іменні заявки'!$A:$J,4,FALSE)</f>
        <v>КМСУ</v>
      </c>
      <c r="F25" s="509"/>
      <c r="G25" s="512"/>
      <c r="H25" s="515"/>
      <c r="I25" s="515"/>
      <c r="J25" s="515"/>
      <c r="K25" s="87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КМСУ</v>
      </c>
      <c r="L25" s="88" t="str">
        <f>VLOOKUP($B25,'Іменні заявки'!$A:$J,10,FALSE)</f>
        <v>Яворський В.М.</v>
      </c>
      <c r="O25" s="99">
        <f t="shared" si="0"/>
        <v>30</v>
      </c>
    </row>
    <row r="26" spans="1:15" ht="12.75" customHeight="1">
      <c r="A26" s="486" t="s">
        <v>72</v>
      </c>
      <c r="B26" s="54">
        <v>211</v>
      </c>
      <c r="C26" s="74" t="str">
        <f>VLOOKUP($B26,'Іменні заявки'!$A:$J,2,FALSE)</f>
        <v>Касапчук Сергій Якович</v>
      </c>
      <c r="D26" s="75">
        <f>VLOOKUP($B26,'Іменні заявки'!$A:$J,3,FALSE)</f>
        <v>29720</v>
      </c>
      <c r="E26" s="76" t="str">
        <f>VLOOKUP($B26,'Іменні заявки'!$A:$J,4,FALSE)</f>
        <v>КМСУ</v>
      </c>
      <c r="F26" s="507">
        <f>VLOOKUP($B26-RIGHT($B26,1),'Прот.рез.Кр.-пох.'!$A:$AA,25,FALSE)</f>
        <v>0.086875</v>
      </c>
      <c r="G26" s="510">
        <f>IF(ISERROR($F26),"—",IF(OR(ISTEXT($F26),$F26=""),"—",IF(VLOOKUP($B26-RIGHT($B26,1),'Проток.рез.КСП'!A:Y,25,FALSE)&lt;&gt;"",VLOOKUP($B26-RIGHT($B26,1),'Проток.рез.КСП'!A:Y,25,FALSE),ROUND($F26/$F$14*100,2))))</f>
        <v>101.21</v>
      </c>
      <c r="H26" s="513" t="str">
        <f>VLOOKUP($B26,'Іменні заявки'!$A:$J,8,FALSE)</f>
        <v>м.Кам.-Подільський</v>
      </c>
      <c r="I26" s="513" t="str">
        <f>VLOOKUP($B26,'Іменні заявки'!$A:$J,7,FALSE)</f>
        <v>м.Кам’янця-Подільського</v>
      </c>
      <c r="J26" s="513">
        <f>VLOOKUP($B26,'Іменні заявки'!$A:$J,9,FALSE)</f>
      </c>
      <c r="K26" s="53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КМСУ</v>
      </c>
      <c r="L26" s="77" t="str">
        <f>VLOOKUP($B26,'Іменні заявки'!$A:$J,10,FALSE)</f>
        <v>Полева Н.І.</v>
      </c>
      <c r="O26" s="99">
        <f t="shared" si="0"/>
        <v>30</v>
      </c>
    </row>
    <row r="27" spans="1:15" ht="12.75" customHeight="1">
      <c r="A27" s="487"/>
      <c r="B27" s="56">
        <v>212</v>
      </c>
      <c r="C27" s="79" t="str">
        <f>VLOOKUP($B27,'Іменні заявки'!$A:$J,2,FALSE)</f>
        <v>Іванов Віталій Володимирович</v>
      </c>
      <c r="D27" s="80">
        <f>VLOOKUP($B27,'Іменні заявки'!$A:$J,3,FALSE)</f>
        <v>31810</v>
      </c>
      <c r="E27" s="81" t="str">
        <f>VLOOKUP($B27,'Іменні заявки'!$A:$J,4,FALSE)</f>
        <v>б/р</v>
      </c>
      <c r="F27" s="508"/>
      <c r="G27" s="511"/>
      <c r="H27" s="514"/>
      <c r="I27" s="514"/>
      <c r="J27" s="514"/>
      <c r="K27" s="55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КМСУ</v>
      </c>
      <c r="L27" s="82" t="str">
        <f>VLOOKUP($B27,'Іменні заявки'!$A:$J,10,FALSE)</f>
        <v>Полева Н.І.</v>
      </c>
      <c r="O27" s="99">
        <f t="shared" si="0"/>
        <v>0</v>
      </c>
    </row>
    <row r="28" spans="1:15" ht="12.75" customHeight="1">
      <c r="A28" s="487"/>
      <c r="B28" s="56">
        <v>213</v>
      </c>
      <c r="C28" s="79" t="str">
        <f>VLOOKUP($B28,'Іменні заявки'!$A:$J,2,FALSE)</f>
        <v>Тимчук Дмитро Вадимович</v>
      </c>
      <c r="D28" s="80">
        <f>VLOOKUP($B28,'Іменні заявки'!$A:$J,3,FALSE)</f>
        <v>29235</v>
      </c>
      <c r="E28" s="81" t="str">
        <f>VLOOKUP($B28,'Іменні заявки'!$A:$J,4,FALSE)</f>
        <v>КМСУ</v>
      </c>
      <c r="F28" s="508"/>
      <c r="G28" s="511"/>
      <c r="H28" s="514"/>
      <c r="I28" s="514"/>
      <c r="J28" s="514"/>
      <c r="K28" s="55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КМСУ</v>
      </c>
      <c r="L28" s="82" t="str">
        <f>VLOOKUP($B28,'Іменні заявки'!$A:$J,10,FALSE)</f>
        <v>Полева Н.І.</v>
      </c>
      <c r="O28" s="99">
        <f t="shared" si="0"/>
        <v>30</v>
      </c>
    </row>
    <row r="29" spans="1:15" ht="12.75" customHeight="1">
      <c r="A29" s="487"/>
      <c r="B29" s="56">
        <v>214</v>
      </c>
      <c r="C29" s="79" t="str">
        <f>VLOOKUP($B29,'Іменні заявки'!$A:$J,2,FALSE)</f>
        <v>Полевий Юрій Богданович</v>
      </c>
      <c r="D29" s="80">
        <f>VLOOKUP($B29,'Іменні заявки'!$A:$J,3,FALSE)</f>
        <v>30054</v>
      </c>
      <c r="E29" s="81" t="str">
        <f>VLOOKUP($B29,'Іменні заявки'!$A:$J,4,FALSE)</f>
        <v>КМСУ</v>
      </c>
      <c r="F29" s="508"/>
      <c r="G29" s="511"/>
      <c r="H29" s="514"/>
      <c r="I29" s="514"/>
      <c r="J29" s="514"/>
      <c r="K29" s="55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КМСУ</v>
      </c>
      <c r="L29" s="82" t="str">
        <f>VLOOKUP($B29,'Іменні заявки'!$A:$J,10,FALSE)</f>
        <v>Полева Н.І.</v>
      </c>
      <c r="O29" s="99">
        <f t="shared" si="0"/>
        <v>30</v>
      </c>
    </row>
    <row r="30" spans="1:15" ht="12.75" customHeight="1">
      <c r="A30" s="487"/>
      <c r="B30" s="56">
        <v>215</v>
      </c>
      <c r="C30" s="79" t="str">
        <f>VLOOKUP($B30,'Іменні заявки'!$A:$J,2,FALSE)</f>
        <v>Полева Наталія Іванівна</v>
      </c>
      <c r="D30" s="80">
        <f>VLOOKUP($B30,'Іменні заявки'!$A:$J,3,FALSE)</f>
        <v>29135</v>
      </c>
      <c r="E30" s="81" t="str">
        <f>VLOOKUP($B30,'Іменні заявки'!$A:$J,4,FALSE)</f>
        <v>МСУ</v>
      </c>
      <c r="F30" s="508"/>
      <c r="G30" s="511"/>
      <c r="H30" s="514"/>
      <c r="I30" s="514"/>
      <c r="J30" s="514"/>
      <c r="K30" s="55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КМСУ</v>
      </c>
      <c r="L30" s="82" t="str">
        <f>VLOOKUP($B30,'Іменні заявки'!$A:$J,10,FALSE)</f>
        <v>Полева Н.І.</v>
      </c>
      <c r="O30" s="99">
        <f t="shared" si="0"/>
        <v>100</v>
      </c>
    </row>
    <row r="31" spans="1:15" ht="12.75" customHeight="1" thickBot="1">
      <c r="A31" s="506"/>
      <c r="B31" s="83">
        <v>216</v>
      </c>
      <c r="C31" s="84" t="str">
        <f>VLOOKUP($B31,'Іменні заявки'!$A:$J,2,FALSE)</f>
        <v>Самойленко Олена Віталіївна</v>
      </c>
      <c r="D31" s="85">
        <f>VLOOKUP($B31,'Іменні заявки'!$A:$J,3,FALSE)</f>
        <v>28770</v>
      </c>
      <c r="E31" s="86" t="str">
        <f>VLOOKUP($B31,'Іменні заявки'!$A:$J,4,FALSE)</f>
        <v>КМСУ</v>
      </c>
      <c r="F31" s="509"/>
      <c r="G31" s="512"/>
      <c r="H31" s="515"/>
      <c r="I31" s="515"/>
      <c r="J31" s="515"/>
      <c r="K31" s="87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КМСУ</v>
      </c>
      <c r="L31" s="88" t="str">
        <f>VLOOKUP($B31,'Іменні заявки'!$A:$J,10,FALSE)</f>
        <v>Полева Н.І.</v>
      </c>
      <c r="O31" s="99">
        <f t="shared" si="0"/>
        <v>30</v>
      </c>
    </row>
    <row r="32" spans="1:15" ht="12.75" customHeight="1">
      <c r="A32" s="486">
        <v>4</v>
      </c>
      <c r="B32" s="54">
        <v>231</v>
      </c>
      <c r="C32" s="74" t="str">
        <f>VLOOKUP($B32,'Іменні заявки'!$A:$J,2,FALSE)</f>
        <v>Лук'янчук Олександр Вікторович</v>
      </c>
      <c r="D32" s="75">
        <f>VLOOKUP($B32,'Іменні заявки'!$A:$J,3,FALSE)</f>
        <v>31208</v>
      </c>
      <c r="E32" s="76" t="str">
        <f>VLOOKUP($B32,'Іменні заявки'!$A:$J,4,FALSE)</f>
        <v>І</v>
      </c>
      <c r="F32" s="507">
        <f>VLOOKUP($B32-RIGHT($B32,1),'Прот.рез.Кр.-пох.'!$A:$AA,25,FALSE)</f>
        <v>0.08722222222222221</v>
      </c>
      <c r="G32" s="510">
        <f>IF(ISERROR($F32),"—",IF(OR(ISTEXT($F32),$F32=""),"—",IF(VLOOKUP($B32-RIGHT($B32,1),'Проток.рез.КСП'!A:Y,25,FALSE)&lt;&gt;"",VLOOKUP($B32-RIGHT($B32,1),'Проток.рез.КСП'!A:Y,25,FALSE),ROUND($F32/$F$14*100,2))))</f>
        <v>101.62</v>
      </c>
      <c r="H32" s="513" t="str">
        <f>VLOOKUP($B32,'Іменні заявки'!$A:$J,8,FALSE)</f>
        <v>м.Славута</v>
      </c>
      <c r="I32" s="513" t="str">
        <f>VLOOKUP($B32,'Іменні заявки'!$A:$J,7,FALSE)</f>
        <v>м.Славути</v>
      </c>
      <c r="J32" s="513">
        <f>VLOOKUP($B32,'Іменні заявки'!$A:$J,9,FALSE)</f>
      </c>
      <c r="K32" s="53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КМСУ</v>
      </c>
      <c r="L32" s="77" t="str">
        <f>VLOOKUP($B32,'Іменні заявки'!$A:$J,10,FALSE)</f>
        <v>Лук'янчук О.В.</v>
      </c>
      <c r="O32" s="99">
        <f t="shared" si="0"/>
        <v>10</v>
      </c>
    </row>
    <row r="33" spans="1:15" ht="12.75" customHeight="1">
      <c r="A33" s="487"/>
      <c r="B33" s="56">
        <v>232</v>
      </c>
      <c r="C33" s="79" t="str">
        <f>VLOOKUP($B33,'Іменні заявки'!$A:$J,2,FALSE)</f>
        <v>Мулик Ярослав Євгенович</v>
      </c>
      <c r="D33" s="80">
        <f>VLOOKUP($B33,'Іменні заявки'!$A:$J,3,FALSE)</f>
        <v>30849</v>
      </c>
      <c r="E33" s="81" t="str">
        <f>VLOOKUP($B33,'Іменні заявки'!$A:$J,4,FALSE)</f>
        <v>І</v>
      </c>
      <c r="F33" s="508"/>
      <c r="G33" s="511"/>
      <c r="H33" s="514"/>
      <c r="I33" s="514"/>
      <c r="J33" s="514"/>
      <c r="K33" s="55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КМСУ</v>
      </c>
      <c r="L33" s="82" t="str">
        <f>VLOOKUP($B33,'Іменні заявки'!$A:$J,10,FALSE)</f>
        <v>Лук'янчук О.В.</v>
      </c>
      <c r="O33" s="99">
        <f t="shared" si="0"/>
        <v>10</v>
      </c>
    </row>
    <row r="34" spans="1:15" ht="12.75" customHeight="1">
      <c r="A34" s="487"/>
      <c r="B34" s="56">
        <v>233</v>
      </c>
      <c r="C34" s="79" t="str">
        <f>VLOOKUP($B34,'Іменні заявки'!$A:$J,2,FALSE)</f>
        <v>Гайдук Богдан Вікторович</v>
      </c>
      <c r="D34" s="80">
        <f>VLOOKUP($B34,'Іменні заявки'!$A:$J,3,FALSE)</f>
        <v>34881</v>
      </c>
      <c r="E34" s="81" t="str">
        <f>VLOOKUP($B34,'Іменні заявки'!$A:$J,4,FALSE)</f>
        <v>І</v>
      </c>
      <c r="F34" s="508"/>
      <c r="G34" s="511"/>
      <c r="H34" s="514"/>
      <c r="I34" s="514"/>
      <c r="J34" s="514"/>
      <c r="K34" s="55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КМСУ</v>
      </c>
      <c r="L34" s="82" t="str">
        <f>VLOOKUP($B34,'Іменні заявки'!$A:$J,10,FALSE)</f>
        <v>Лук'янчук О.В.</v>
      </c>
      <c r="O34" s="99">
        <f t="shared" si="0"/>
        <v>10</v>
      </c>
    </row>
    <row r="35" spans="1:15" ht="12.75" customHeight="1">
      <c r="A35" s="487"/>
      <c r="B35" s="56">
        <v>234</v>
      </c>
      <c r="C35" s="79" t="str">
        <f>VLOOKUP($B35,'Іменні заявки'!$A:$J,2,FALSE)</f>
        <v>Романюк Руслан Миколайович</v>
      </c>
      <c r="D35" s="80">
        <f>VLOOKUP($B35,'Іменні заявки'!$A:$J,3,FALSE)</f>
        <v>32980</v>
      </c>
      <c r="E35" s="81" t="str">
        <f>VLOOKUP($B35,'Іменні заявки'!$A:$J,4,FALSE)</f>
        <v>І</v>
      </c>
      <c r="F35" s="508"/>
      <c r="G35" s="511"/>
      <c r="H35" s="514"/>
      <c r="I35" s="514"/>
      <c r="J35" s="514"/>
      <c r="K35" s="55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КМСУ</v>
      </c>
      <c r="L35" s="82" t="str">
        <f>VLOOKUP($B35,'Іменні заявки'!$A:$J,10,FALSE)</f>
        <v>Лук'янчук О.В.</v>
      </c>
      <c r="O35" s="99">
        <f t="shared" si="0"/>
        <v>10</v>
      </c>
    </row>
    <row r="36" spans="1:15" ht="12.75" customHeight="1">
      <c r="A36" s="487"/>
      <c r="B36" s="56">
        <v>236</v>
      </c>
      <c r="C36" s="79" t="str">
        <f>VLOOKUP($B36,'Іменні заявки'!$A:$J,2,FALSE)</f>
        <v>Вакульчук Крістіна Григорівна</v>
      </c>
      <c r="D36" s="80">
        <f>VLOOKUP($B36,'Іменні заявки'!$A:$J,3,FALSE)</f>
        <v>32943</v>
      </c>
      <c r="E36" s="81" t="str">
        <f>VLOOKUP($B36,'Іменні заявки'!$A:$J,4,FALSE)</f>
        <v>І</v>
      </c>
      <c r="F36" s="508"/>
      <c r="G36" s="511"/>
      <c r="H36" s="514"/>
      <c r="I36" s="514"/>
      <c r="J36" s="514"/>
      <c r="K36" s="55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КМСУ</v>
      </c>
      <c r="L36" s="82" t="str">
        <f>VLOOKUP($B36,'Іменні заявки'!$A:$J,10,FALSE)</f>
        <v>Лук'янчук О.В.</v>
      </c>
      <c r="O36" s="99">
        <f t="shared" si="0"/>
        <v>10</v>
      </c>
    </row>
    <row r="37" spans="1:15" ht="12.75" customHeight="1" thickBot="1">
      <c r="A37" s="506"/>
      <c r="B37" s="83">
        <v>237</v>
      </c>
      <c r="C37" s="84" t="str">
        <f>VLOOKUP($B37,'Іменні заявки'!$A:$J,2,FALSE)</f>
        <v>Климчук Інна Павлівна</v>
      </c>
      <c r="D37" s="85">
        <f>VLOOKUP($B37,'Іменні заявки'!$A:$J,3,FALSE)</f>
        <v>32410</v>
      </c>
      <c r="E37" s="86" t="str">
        <f>VLOOKUP($B37,'Іменні заявки'!$A:$J,4,FALSE)</f>
        <v>ІІ</v>
      </c>
      <c r="F37" s="509"/>
      <c r="G37" s="512"/>
      <c r="H37" s="515"/>
      <c r="I37" s="515"/>
      <c r="J37" s="515"/>
      <c r="K37" s="87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КМСУ</v>
      </c>
      <c r="L37" s="88" t="str">
        <f>VLOOKUP($B37,'Іменні заявки'!$A:$J,10,FALSE)</f>
        <v>Лук'янчук О.В.</v>
      </c>
      <c r="O37" s="99">
        <f t="shared" si="0"/>
        <v>3</v>
      </c>
    </row>
    <row r="38" spans="1:15" ht="12.75" customHeight="1">
      <c r="A38" s="486">
        <v>5</v>
      </c>
      <c r="B38" s="54">
        <v>123</v>
      </c>
      <c r="C38" s="74" t="str">
        <f>VLOOKUP($B38,'Іменні заявки'!$A:$J,2,FALSE)</f>
        <v>Микитюк Тарас Олегович</v>
      </c>
      <c r="D38" s="75">
        <f>VLOOKUP($B38,'Іменні заявки'!$A:$J,3,FALSE)</f>
        <v>33645</v>
      </c>
      <c r="E38" s="76" t="str">
        <f>VLOOKUP($B38,'Іменні заявки'!$A:$J,4,FALSE)</f>
        <v>КМСУ</v>
      </c>
      <c r="F38" s="507">
        <f>VLOOKUP($B38-RIGHT($B38,1),'Прот.рез.Кр.-пох.'!$A:$AA,25,FALSE)</f>
        <v>0.08791666666666667</v>
      </c>
      <c r="G38" s="510">
        <f>IF(ISERROR($F38),"—",IF(OR(ISTEXT($F38),$F38=""),"—",IF(VLOOKUP($B38-RIGHT($B38,1),'Проток.рез.КСП'!A:Y,25,FALSE)&lt;&gt;"",VLOOKUP($B38-RIGHT($B38,1),'Проток.рез.КСП'!A:Y,25,FALSE),ROUND($F38/$F$14*100,2))))</f>
        <v>102.43</v>
      </c>
      <c r="H38" s="513" t="str">
        <f>VLOOKUP($B38,'Іменні заявки'!$A:$J,8,FALSE)</f>
        <v>Полонський р-н</v>
      </c>
      <c r="I38" s="513" t="str">
        <f>VLOOKUP($B38,'Іменні заявки'!$A:$J,7,FALSE)</f>
        <v>Полонського р-ну</v>
      </c>
      <c r="J38" s="513">
        <f>VLOOKUP($B38,'Іменні заявки'!$A:$J,9,FALSE)</f>
      </c>
      <c r="K38" s="53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КМСУ</v>
      </c>
      <c r="L38" s="77" t="str">
        <f>VLOOKUP($B38,'Іменні заявки'!$A:$J,10,FALSE)</f>
        <v>Цішевський О.Б.</v>
      </c>
      <c r="O38" s="99">
        <f t="shared" si="0"/>
        <v>30</v>
      </c>
    </row>
    <row r="39" spans="1:15" ht="12.75" customHeight="1">
      <c r="A39" s="487"/>
      <c r="B39" s="56">
        <v>121</v>
      </c>
      <c r="C39" s="79" t="str">
        <f>VLOOKUP($B39,'Іменні заявки'!$A:$J,2,FALSE)</f>
        <v>Дзеба Святослав Володимирович</v>
      </c>
      <c r="D39" s="80">
        <f>VLOOKUP($B39,'Іменні заявки'!$A:$J,3,FALSE)</f>
        <v>24673</v>
      </c>
      <c r="E39" s="81" t="str">
        <f>VLOOKUP($B39,'Іменні заявки'!$A:$J,4,FALSE)</f>
        <v>КМСУ</v>
      </c>
      <c r="F39" s="508"/>
      <c r="G39" s="511"/>
      <c r="H39" s="514"/>
      <c r="I39" s="514"/>
      <c r="J39" s="514"/>
      <c r="K39" s="55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КМСУ</v>
      </c>
      <c r="L39" s="82" t="str">
        <f>VLOOKUP($B39,'Іменні заявки'!$A:$J,10,FALSE)</f>
        <v>Цішевський О.Б.</v>
      </c>
      <c r="O39" s="99">
        <f t="shared" si="0"/>
        <v>30</v>
      </c>
    </row>
    <row r="40" spans="1:15" ht="12.75" customHeight="1">
      <c r="A40" s="487"/>
      <c r="B40" s="56">
        <v>125</v>
      </c>
      <c r="C40" s="79" t="str">
        <f>VLOOKUP($B40,'Іменні заявки'!$A:$J,2,FALSE)</f>
        <v>Ковальчук Андрій Васильович</v>
      </c>
      <c r="D40" s="80">
        <f>VLOOKUP($B40,'Іменні заявки'!$A:$J,3,FALSE)</f>
        <v>35045</v>
      </c>
      <c r="E40" s="81" t="str">
        <f>VLOOKUP($B40,'Іменні заявки'!$A:$J,4,FALSE)</f>
        <v>ІІ</v>
      </c>
      <c r="F40" s="508"/>
      <c r="G40" s="511"/>
      <c r="H40" s="514"/>
      <c r="I40" s="514"/>
      <c r="J40" s="514"/>
      <c r="K40" s="55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КМСУ</v>
      </c>
      <c r="L40" s="82" t="str">
        <f>VLOOKUP($B40,'Іменні заявки'!$A:$J,10,FALSE)</f>
        <v>Цішевський О.Б.</v>
      </c>
      <c r="O40" s="99">
        <f t="shared" si="0"/>
        <v>3</v>
      </c>
    </row>
    <row r="41" spans="1:15" ht="12.75" customHeight="1">
      <c r="A41" s="487"/>
      <c r="B41" s="56">
        <v>126</v>
      </c>
      <c r="C41" s="79" t="str">
        <f>VLOOKUP($B41,'Іменні заявки'!$A:$J,2,FALSE)</f>
        <v>Яремов Дмитро Олегович</v>
      </c>
      <c r="D41" s="80">
        <f>VLOOKUP($B41,'Іменні заявки'!$A:$J,3,FALSE)</f>
        <v>34686</v>
      </c>
      <c r="E41" s="81" t="str">
        <f>VLOOKUP($B41,'Іменні заявки'!$A:$J,4,FALSE)</f>
        <v>ІІ</v>
      </c>
      <c r="F41" s="508"/>
      <c r="G41" s="511"/>
      <c r="H41" s="514"/>
      <c r="I41" s="514"/>
      <c r="J41" s="514"/>
      <c r="K41" s="55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КМСУ</v>
      </c>
      <c r="L41" s="82" t="str">
        <f>VLOOKUP($B41,'Іменні заявки'!$A:$J,10,FALSE)</f>
        <v>Цішевський О.Б.</v>
      </c>
      <c r="O41" s="99">
        <f t="shared" si="0"/>
        <v>3</v>
      </c>
    </row>
    <row r="42" spans="1:15" ht="12.75" customHeight="1">
      <c r="A42" s="487"/>
      <c r="B42" s="56">
        <v>127</v>
      </c>
      <c r="C42" s="79" t="str">
        <f>VLOOKUP($B42,'Іменні заявки'!$A:$J,2,FALSE)</f>
        <v>Юрчук Максим Вікторович</v>
      </c>
      <c r="D42" s="80">
        <f>VLOOKUP($B42,'Іменні заявки'!$A:$J,3,FALSE)</f>
        <v>33436</v>
      </c>
      <c r="E42" s="81" t="str">
        <f>VLOOKUP($B42,'Іменні заявки'!$A:$J,4,FALSE)</f>
        <v>КМСУ</v>
      </c>
      <c r="F42" s="508"/>
      <c r="G42" s="511"/>
      <c r="H42" s="514"/>
      <c r="I42" s="514"/>
      <c r="J42" s="514"/>
      <c r="K42" s="55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КМСУ</v>
      </c>
      <c r="L42" s="82" t="str">
        <f>VLOOKUP($B42,'Іменні заявки'!$A:$J,10,FALSE)</f>
        <v>Цішевський О.Б.</v>
      </c>
      <c r="O42" s="99">
        <f t="shared" si="0"/>
        <v>30</v>
      </c>
    </row>
    <row r="43" spans="1:15" ht="12.75" customHeight="1" thickBot="1">
      <c r="A43" s="506"/>
      <c r="B43" s="83">
        <v>122</v>
      </c>
      <c r="C43" s="84" t="str">
        <f>VLOOKUP($B43,'Іменні заявки'!$A:$J,2,FALSE)</f>
        <v>Рибачок Мирослава Анатоліївна</v>
      </c>
      <c r="D43" s="85">
        <f>VLOOKUP($B43,'Іменні заявки'!$A:$J,3,FALSE)</f>
        <v>34161</v>
      </c>
      <c r="E43" s="86" t="str">
        <f>VLOOKUP($B43,'Іменні заявки'!$A:$J,4,FALSE)</f>
        <v>ІІ</v>
      </c>
      <c r="F43" s="509"/>
      <c r="G43" s="512"/>
      <c r="H43" s="515"/>
      <c r="I43" s="515"/>
      <c r="J43" s="515"/>
      <c r="K43" s="87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КМСУ</v>
      </c>
      <c r="L43" s="88" t="str">
        <f>VLOOKUP($B43,'Іменні заявки'!$A:$J,10,FALSE)</f>
        <v>Цішевський О.Б.</v>
      </c>
      <c r="O43" s="99">
        <f t="shared" si="0"/>
        <v>3</v>
      </c>
    </row>
    <row r="44" spans="1:15" ht="12.75" customHeight="1">
      <c r="A44" s="486">
        <v>6</v>
      </c>
      <c r="B44" s="54">
        <v>171</v>
      </c>
      <c r="C44" s="74" t="str">
        <f>VLOOKUP($B44,'Іменні заявки'!$A:$J,2,FALSE)</f>
        <v>Іщук Олег Михайлович</v>
      </c>
      <c r="D44" s="75">
        <f>VLOOKUP($B44,'Іменні заявки'!$A:$J,3,FALSE)</f>
        <v>32118</v>
      </c>
      <c r="E44" s="76" t="str">
        <f>VLOOKUP($B44,'Іменні заявки'!$A:$J,4,FALSE)</f>
        <v>КМСУ</v>
      </c>
      <c r="F44" s="507">
        <f>VLOOKUP($B44-RIGHT($B44,1),'Прот.рез.Кр.-пох.'!$A:$AA,25,FALSE)</f>
        <v>0.08965277777777778</v>
      </c>
      <c r="G44" s="510">
        <f>IF(ISERROR($F44),"—",IF(OR(ISTEXT($F44),$F44=""),"—",IF(VLOOKUP($B44-RIGHT($B44,1),'Проток.рез.КСП'!A:Y,25,FALSE)&lt;&gt;"",VLOOKUP($B44-RIGHT($B44,1),'Проток.рез.КСП'!A:Y,25,FALSE),ROUND($F44/$F$14*100,2))))</f>
        <v>104.45</v>
      </c>
      <c r="H44" s="513" t="str">
        <f>VLOOKUP($B44,'Іменні заявки'!$A:$J,8,FALSE)</f>
        <v>Хмельницький р-н</v>
      </c>
      <c r="I44" s="513" t="str">
        <f>VLOOKUP($B44,'Іменні заявки'!$A:$J,7,FALSE)</f>
        <v>Хмельницького р-ну</v>
      </c>
      <c r="J44" s="513">
        <f>VLOOKUP($B44,'Іменні заявки'!$A:$J,9,FALSE)</f>
      </c>
      <c r="K44" s="53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КМСУ</v>
      </c>
      <c r="L44" s="77" t="str">
        <f>VLOOKUP($B44,'Іменні заявки'!$A:$J,10,FALSE)</f>
        <v>Іщук О.М.</v>
      </c>
      <c r="O44" s="99">
        <f t="shared" si="0"/>
        <v>30</v>
      </c>
    </row>
    <row r="45" spans="1:15" ht="12.75" customHeight="1">
      <c r="A45" s="487"/>
      <c r="B45" s="56">
        <v>172</v>
      </c>
      <c r="C45" s="79" t="str">
        <f>VLOOKUP($B45,'Іменні заявки'!$A:$J,2,FALSE)</f>
        <v>Гула Володимир Миколайович</v>
      </c>
      <c r="D45" s="80">
        <f>VLOOKUP($B45,'Іменні заявки'!$A:$J,3,FALSE)</f>
        <v>33534</v>
      </c>
      <c r="E45" s="81" t="str">
        <f>VLOOKUP($B45,'Іменні заявки'!$A:$J,4,FALSE)</f>
        <v>ІІ</v>
      </c>
      <c r="F45" s="508"/>
      <c r="G45" s="511"/>
      <c r="H45" s="514"/>
      <c r="I45" s="514"/>
      <c r="J45" s="514"/>
      <c r="K45" s="55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КМСУ</v>
      </c>
      <c r="L45" s="82" t="str">
        <f>VLOOKUP($B45,'Іменні заявки'!$A:$J,10,FALSE)</f>
        <v>Іщук О.М.</v>
      </c>
      <c r="O45" s="99">
        <f t="shared" si="0"/>
        <v>3</v>
      </c>
    </row>
    <row r="46" spans="1:15" ht="12.75" customHeight="1">
      <c r="A46" s="487"/>
      <c r="B46" s="56">
        <v>175</v>
      </c>
      <c r="C46" s="79" t="str">
        <f>VLOOKUP($B46,'Іменні заявки'!$A:$J,2,FALSE)</f>
        <v>Дубілей Андрій Валентинович</v>
      </c>
      <c r="D46" s="80">
        <f>VLOOKUP($B46,'Іменні заявки'!$A:$J,3,FALSE)</f>
        <v>32826</v>
      </c>
      <c r="E46" s="81" t="str">
        <f>VLOOKUP($B46,'Іменні заявки'!$A:$J,4,FALSE)</f>
        <v>І</v>
      </c>
      <c r="F46" s="508"/>
      <c r="G46" s="511"/>
      <c r="H46" s="514"/>
      <c r="I46" s="514"/>
      <c r="J46" s="514"/>
      <c r="K46" s="55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КМСУ</v>
      </c>
      <c r="L46" s="82" t="str">
        <f>VLOOKUP($B46,'Іменні заявки'!$A:$J,10,FALSE)</f>
        <v>Іщук О.М.</v>
      </c>
      <c r="O46" s="99">
        <f t="shared" si="0"/>
        <v>10</v>
      </c>
    </row>
    <row r="47" spans="1:15" ht="12.75" customHeight="1">
      <c r="A47" s="487"/>
      <c r="B47" s="56">
        <v>176</v>
      </c>
      <c r="C47" s="79" t="str">
        <f>VLOOKUP($B47,'Іменні заявки'!$A:$J,2,FALSE)</f>
        <v>Мельник Інна Віталіївна</v>
      </c>
      <c r="D47" s="80">
        <f>VLOOKUP($B47,'Іменні заявки'!$A:$J,3,FALSE)</f>
        <v>28008</v>
      </c>
      <c r="E47" s="81" t="str">
        <f>VLOOKUP($B47,'Іменні заявки'!$A:$J,4,FALSE)</f>
        <v>КМСУ</v>
      </c>
      <c r="F47" s="508"/>
      <c r="G47" s="511"/>
      <c r="H47" s="514"/>
      <c r="I47" s="514"/>
      <c r="J47" s="514"/>
      <c r="K47" s="55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КМСУ</v>
      </c>
      <c r="L47" s="82" t="str">
        <f>VLOOKUP($B47,'Іменні заявки'!$A:$J,10,FALSE)</f>
        <v>Іщук О.М.</v>
      </c>
      <c r="O47" s="99">
        <f t="shared" si="0"/>
        <v>30</v>
      </c>
    </row>
    <row r="48" spans="1:15" ht="12.75" customHeight="1">
      <c r="A48" s="487"/>
      <c r="B48" s="56">
        <v>177</v>
      </c>
      <c r="C48" s="79" t="str">
        <f>VLOOKUP($B48,'Іменні заявки'!$A:$J,2,FALSE)</f>
        <v>Кучер Олексій Васильович</v>
      </c>
      <c r="D48" s="80">
        <f>VLOOKUP($B48,'Іменні заявки'!$A:$J,3,FALSE)</f>
        <v>33266</v>
      </c>
      <c r="E48" s="81" t="str">
        <f>VLOOKUP($B48,'Іменні заявки'!$A:$J,4,FALSE)</f>
        <v>ІІ</v>
      </c>
      <c r="F48" s="508"/>
      <c r="G48" s="511"/>
      <c r="H48" s="514"/>
      <c r="I48" s="514"/>
      <c r="J48" s="514"/>
      <c r="K48" s="55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КМСУ</v>
      </c>
      <c r="L48" s="82" t="str">
        <f>VLOOKUP($B48,'Іменні заявки'!$A:$J,10,FALSE)</f>
        <v>Іщук О.М.</v>
      </c>
      <c r="O48" s="99">
        <f t="shared" si="0"/>
        <v>3</v>
      </c>
    </row>
    <row r="49" spans="1:15" ht="12.75" customHeight="1" thickBot="1">
      <c r="A49" s="506"/>
      <c r="B49" s="83">
        <v>178</v>
      </c>
      <c r="C49" s="84" t="str">
        <f>VLOOKUP($B49,'Іменні заявки'!$A:$J,2,FALSE)</f>
        <v>Пушкар Тетяна Василівна</v>
      </c>
      <c r="D49" s="85">
        <f>VLOOKUP($B49,'Іменні заявки'!$A:$J,3,FALSE)</f>
        <v>31169</v>
      </c>
      <c r="E49" s="86" t="str">
        <f>VLOOKUP($B49,'Іменні заявки'!$A:$J,4,FALSE)</f>
        <v>ІІ</v>
      </c>
      <c r="F49" s="509"/>
      <c r="G49" s="512"/>
      <c r="H49" s="515"/>
      <c r="I49" s="515"/>
      <c r="J49" s="515"/>
      <c r="K49" s="87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КМСУ</v>
      </c>
      <c r="L49" s="88" t="str">
        <f>VLOOKUP($B49,'Іменні заявки'!$A:$J,10,FALSE)</f>
        <v>Іщук О.М.</v>
      </c>
      <c r="O49" s="99">
        <f t="shared" si="0"/>
        <v>3</v>
      </c>
    </row>
    <row r="50" spans="1:15" ht="12.75" customHeight="1">
      <c r="A50" s="486">
        <v>7</v>
      </c>
      <c r="B50" s="54">
        <v>221</v>
      </c>
      <c r="C50" s="74" t="str">
        <f>VLOOKUP($B50,'Іменні заявки'!$A:$J,2,FALSE)</f>
        <v>Левчук Федір Володимирович</v>
      </c>
      <c r="D50" s="75">
        <f>VLOOKUP($B50,'Іменні заявки'!$A:$J,3,FALSE)</f>
        <v>25262</v>
      </c>
      <c r="E50" s="76" t="str">
        <f>VLOOKUP($B50,'Іменні заявки'!$A:$J,4,FALSE)</f>
        <v>б/р</v>
      </c>
      <c r="F50" s="507">
        <f>VLOOKUP($B50-RIGHT($B50,1),'Прот.рез.Кр.-пох.'!$A:$AA,25,FALSE)</f>
        <v>0.09034722222222222</v>
      </c>
      <c r="G50" s="510">
        <f>IF(ISERROR($F50),"—",IF(OR(ISTEXT($F50),$F50=""),"—",IF(VLOOKUP($B50-RIGHT($B50,1),'Проток.рез.КСП'!A:Y,25,FALSE)&lt;&gt;"",VLOOKUP($B50-RIGHT($B50,1),'Проток.рез.КСП'!A:Y,25,FALSE),ROUND($F50/$F$14*100,2))))</f>
        <v>105.26</v>
      </c>
      <c r="H50" s="513" t="str">
        <f>VLOOKUP($B50,'Іменні заявки'!$A:$J,8,FALSE)</f>
        <v>м.Нетішин</v>
      </c>
      <c r="I50" s="513" t="str">
        <f>VLOOKUP($B50,'Іменні заявки'!$A:$J,7,FALSE)</f>
        <v>м. Нетішина</v>
      </c>
      <c r="J50" s="513">
        <f>VLOOKUP($B50,'Іменні заявки'!$A:$J,9,FALSE)</f>
      </c>
      <c r="K50" s="53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КМСУ</v>
      </c>
      <c r="L50" s="77" t="str">
        <f>VLOOKUP($B50,'Іменні заявки'!$A:$J,10,FALSE)</f>
        <v>Левчук Ф.В.</v>
      </c>
      <c r="O50" s="78"/>
    </row>
    <row r="51" spans="1:15" ht="12.75" customHeight="1">
      <c r="A51" s="487"/>
      <c r="B51" s="56">
        <v>223</v>
      </c>
      <c r="C51" s="79" t="str">
        <f>VLOOKUP($B51,'Іменні заявки'!$A:$J,2,FALSE)</f>
        <v>Кондратюк Іван Миколайович</v>
      </c>
      <c r="D51" s="80">
        <f>VLOOKUP($B51,'Іменні заявки'!$A:$J,3,FALSE)</f>
        <v>30281</v>
      </c>
      <c r="E51" s="81" t="str">
        <f>VLOOKUP($B51,'Іменні заявки'!$A:$J,4,FALSE)</f>
        <v>б/р</v>
      </c>
      <c r="F51" s="508"/>
      <c r="G51" s="511"/>
      <c r="H51" s="514"/>
      <c r="I51" s="514"/>
      <c r="J51" s="514"/>
      <c r="K51" s="55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КМСУ</v>
      </c>
      <c r="L51" s="82" t="str">
        <f>VLOOKUP($B51,'Іменні заявки'!$A:$J,10,FALSE)</f>
        <v>Левчук Ф.В.</v>
      </c>
      <c r="O51" s="78"/>
    </row>
    <row r="52" spans="1:15" ht="12.75" customHeight="1">
      <c r="A52" s="487"/>
      <c r="B52" s="56">
        <v>225</v>
      </c>
      <c r="C52" s="79" t="str">
        <f>VLOOKUP($B52,'Іменні заявки'!$A:$J,2,FALSE)</f>
        <v>Ткачук Тетяна Анатоліївна</v>
      </c>
      <c r="D52" s="80">
        <f>VLOOKUP($B52,'Іменні заявки'!$A:$J,3,FALSE)</f>
        <v>29871</v>
      </c>
      <c r="E52" s="81" t="str">
        <f>VLOOKUP($B52,'Іменні заявки'!$A:$J,4,FALSE)</f>
        <v>б/р</v>
      </c>
      <c r="F52" s="508"/>
      <c r="G52" s="511"/>
      <c r="H52" s="514"/>
      <c r="I52" s="514"/>
      <c r="J52" s="514"/>
      <c r="K52" s="55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КМСУ</v>
      </c>
      <c r="L52" s="82" t="str">
        <f>VLOOKUP($B52,'Іменні заявки'!$A:$J,10,FALSE)</f>
        <v>Левчук Ф.В.</v>
      </c>
      <c r="O52" s="78"/>
    </row>
    <row r="53" spans="1:15" ht="12.75" customHeight="1">
      <c r="A53" s="487"/>
      <c r="B53" s="56">
        <v>224</v>
      </c>
      <c r="C53" s="79" t="str">
        <f>VLOOKUP($B53,'Іменні заявки'!$A:$J,2,FALSE)</f>
        <v>Зінчук Лариса Романівна</v>
      </c>
      <c r="D53" s="80">
        <f>VLOOKUP($B53,'Іменні заявки'!$A:$J,3,FALSE)</f>
        <v>26618</v>
      </c>
      <c r="E53" s="81" t="str">
        <f>VLOOKUP($B53,'Іменні заявки'!$A:$J,4,FALSE)</f>
        <v>б/р</v>
      </c>
      <c r="F53" s="508"/>
      <c r="G53" s="511"/>
      <c r="H53" s="514"/>
      <c r="I53" s="514"/>
      <c r="J53" s="514"/>
      <c r="K53" s="55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КМСУ</v>
      </c>
      <c r="L53" s="82" t="str">
        <f>VLOOKUP($B53,'Іменні заявки'!$A:$J,10,FALSE)</f>
        <v>Левчук Ф.В.</v>
      </c>
      <c r="O53" s="78"/>
    </row>
    <row r="54" spans="1:15" ht="12.75" customHeight="1">
      <c r="A54" s="487"/>
      <c r="B54" s="56">
        <v>226</v>
      </c>
      <c r="C54" s="79" t="str">
        <f>VLOOKUP($B54,'Іменні заявки'!$A:$J,2,FALSE)</f>
        <v>Піддубняк Віктор Анатолійович</v>
      </c>
      <c r="D54" s="80">
        <f>VLOOKUP($B54,'Іменні заявки'!$A:$J,3,FALSE)</f>
        <v>33978</v>
      </c>
      <c r="E54" s="81" t="str">
        <f>VLOOKUP($B54,'Іменні заявки'!$A:$J,4,FALSE)</f>
        <v>б/р</v>
      </c>
      <c r="F54" s="508"/>
      <c r="G54" s="511"/>
      <c r="H54" s="514"/>
      <c r="I54" s="514"/>
      <c r="J54" s="514"/>
      <c r="K54" s="55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КМСУ</v>
      </c>
      <c r="L54" s="82" t="str">
        <f>VLOOKUP($B54,'Іменні заявки'!$A:$J,10,FALSE)</f>
        <v>Левчук Ф.В.</v>
      </c>
      <c r="O54" s="78"/>
    </row>
    <row r="55" spans="1:15" ht="12.75" customHeight="1" thickBot="1">
      <c r="A55" s="506"/>
      <c r="B55" s="83">
        <v>227</v>
      </c>
      <c r="C55" s="84" t="str">
        <f>VLOOKUP($B55,'Іменні заявки'!$A:$J,2,FALSE)</f>
        <v>Козачук Роман Іванович</v>
      </c>
      <c r="D55" s="85">
        <f>VLOOKUP($B55,'Іменні заявки'!$A:$J,3,FALSE)</f>
        <v>34513</v>
      </c>
      <c r="E55" s="86" t="str">
        <f>VLOOKUP($B55,'Іменні заявки'!$A:$J,4,FALSE)</f>
        <v>б/р</v>
      </c>
      <c r="F55" s="509"/>
      <c r="G55" s="512"/>
      <c r="H55" s="515"/>
      <c r="I55" s="515"/>
      <c r="J55" s="515"/>
      <c r="K55" s="87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КМСУ</v>
      </c>
      <c r="L55" s="88" t="str">
        <f>VLOOKUP($B55,'Іменні заявки'!$A:$J,10,FALSE)</f>
        <v>Левчук Ф.В.</v>
      </c>
      <c r="O55" s="78"/>
    </row>
    <row r="56" spans="1:15" ht="12.75" customHeight="1">
      <c r="A56" s="486">
        <v>8</v>
      </c>
      <c r="B56" s="54">
        <v>181</v>
      </c>
      <c r="C56" s="74" t="str">
        <f>VLOOKUP($B56,'Іменні заявки'!$A:$J,2,FALSE)</f>
        <v>Василинчук Сергій Олександрович</v>
      </c>
      <c r="D56" s="75">
        <f>VLOOKUP($B56,'Іменні заявки'!$A:$J,3,FALSE)</f>
        <v>30744</v>
      </c>
      <c r="E56" s="76" t="str">
        <f>VLOOKUP($B56,'Іменні заявки'!$A:$J,4,FALSE)</f>
        <v>ІІ</v>
      </c>
      <c r="F56" s="507">
        <f>VLOOKUP($B56-RIGHT($B56,1),'Прот.рез.Кр.-пох.'!$A:$AA,25,FALSE)</f>
        <v>0.1292361111111111</v>
      </c>
      <c r="G56" s="510">
        <f>IF(ISERROR($F56),"—",IF(OR(ISTEXT($F56),$F56=""),"—",IF(VLOOKUP($B56-RIGHT($B56,1),'Проток.рез.КСП'!A:Y,25,FALSE)&lt;&gt;"",VLOOKUP($B56-RIGHT($B56,1),'Проток.рез.КСП'!A:Y,25,FALSE),ROUND($F56/$F$14*100,2))))</f>
        <v>150.57</v>
      </c>
      <c r="H56" s="513" t="str">
        <f>VLOOKUP($B56,'Іменні заявки'!$A:$J,8,FALSE)</f>
        <v>Чемеровецький р-н</v>
      </c>
      <c r="I56" s="513" t="str">
        <f>VLOOKUP($B56,'Іменні заявки'!$A:$J,7,FALSE)</f>
        <v>Чемеровецького р-ну</v>
      </c>
      <c r="J56" s="513">
        <f>VLOOKUP($B56,'Іменні заявки'!$A:$J,9,FALSE)</f>
      </c>
      <c r="K56" s="53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56" s="77" t="str">
        <f>VLOOKUP($B56,'Іменні заявки'!$A:$J,10,FALSE)</f>
        <v>Герич В.В.</v>
      </c>
      <c r="O56" s="78"/>
    </row>
    <row r="57" spans="1:15" ht="12.75" customHeight="1">
      <c r="A57" s="487"/>
      <c r="B57" s="56">
        <v>184</v>
      </c>
      <c r="C57" s="79" t="str">
        <f>VLOOKUP($B57,'Іменні заявки'!$A:$J,2,FALSE)</f>
        <v>Слободян Тетяна Михайлівна</v>
      </c>
      <c r="D57" s="80">
        <f>VLOOKUP($B57,'Іменні заявки'!$A:$J,3,FALSE)</f>
        <v>32007</v>
      </c>
      <c r="E57" s="81" t="str">
        <f>VLOOKUP($B57,'Іменні заявки'!$A:$J,4,FALSE)</f>
        <v>ІІ</v>
      </c>
      <c r="F57" s="508"/>
      <c r="G57" s="511"/>
      <c r="H57" s="514"/>
      <c r="I57" s="514"/>
      <c r="J57" s="514"/>
      <c r="K57" s="55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57" s="82" t="str">
        <f>VLOOKUP($B57,'Іменні заявки'!$A:$J,10,FALSE)</f>
        <v>Герич В.В.</v>
      </c>
      <c r="O57" s="78"/>
    </row>
    <row r="58" spans="1:15" ht="12.75" customHeight="1">
      <c r="A58" s="487"/>
      <c r="B58" s="56">
        <v>182</v>
      </c>
      <c r="C58" s="79" t="str">
        <f>VLOOKUP($B58,'Іменні заявки'!$A:$J,2,FALSE)</f>
        <v>Чорнюк Андрій Валерійович</v>
      </c>
      <c r="D58" s="80">
        <f>VLOOKUP($B58,'Іменні заявки'!$A:$J,3,FALSE)</f>
        <v>31862</v>
      </c>
      <c r="E58" s="81" t="str">
        <f>VLOOKUP($B58,'Іменні заявки'!$A:$J,4,FALSE)</f>
        <v>ІІ</v>
      </c>
      <c r="F58" s="508"/>
      <c r="G58" s="511"/>
      <c r="H58" s="514"/>
      <c r="I58" s="514"/>
      <c r="J58" s="514"/>
      <c r="K58" s="55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58" s="82" t="str">
        <f>VLOOKUP($B58,'Іменні заявки'!$A:$J,10,FALSE)</f>
        <v>Герич В.В.</v>
      </c>
      <c r="O58" s="78"/>
    </row>
    <row r="59" spans="1:15" ht="12.75" customHeight="1">
      <c r="A59" s="487"/>
      <c r="B59" s="56">
        <v>183</v>
      </c>
      <c r="C59" s="79" t="str">
        <f>VLOOKUP($B59,'Іменні заявки'!$A:$J,2,FALSE)</f>
        <v>Герич Володимир Володимирович</v>
      </c>
      <c r="D59" s="80">
        <f>VLOOKUP($B59,'Іменні заявки'!$A:$J,3,FALSE)</f>
        <v>30932</v>
      </c>
      <c r="E59" s="81" t="str">
        <f>VLOOKUP($B59,'Іменні заявки'!$A:$J,4,FALSE)</f>
        <v>ІІ</v>
      </c>
      <c r="F59" s="508"/>
      <c r="G59" s="511"/>
      <c r="H59" s="514"/>
      <c r="I59" s="514"/>
      <c r="J59" s="514"/>
      <c r="K59" s="55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59" s="82" t="str">
        <f>VLOOKUP($B59,'Іменні заявки'!$A:$J,10,FALSE)</f>
        <v>Герич В.В.</v>
      </c>
      <c r="O59" s="78"/>
    </row>
    <row r="60" spans="1:15" ht="12.75" customHeight="1">
      <c r="A60" s="487"/>
      <c r="B60" s="56">
        <v>185</v>
      </c>
      <c r="C60" s="79" t="str">
        <f>VLOOKUP($B60,'Іменні заявки'!$A:$J,2,FALSE)</f>
        <v>Цісар Марина Володимирівна</v>
      </c>
      <c r="D60" s="80">
        <f>VLOOKUP($B60,'Іменні заявки'!$A:$J,3,FALSE)</f>
        <v>33547</v>
      </c>
      <c r="E60" s="81" t="str">
        <f>VLOOKUP($B60,'Іменні заявки'!$A:$J,4,FALSE)</f>
        <v>ІІ</v>
      </c>
      <c r="F60" s="508"/>
      <c r="G60" s="511"/>
      <c r="H60" s="514"/>
      <c r="I60" s="514"/>
      <c r="J60" s="514"/>
      <c r="K60" s="55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60" s="82" t="str">
        <f>VLOOKUP($B60,'Іменні заявки'!$A:$J,10,FALSE)</f>
        <v>Герич В.В.</v>
      </c>
      <c r="O60" s="78"/>
    </row>
    <row r="61" spans="1:15" ht="12.75" customHeight="1" thickBot="1">
      <c r="A61" s="506"/>
      <c r="B61" s="83">
        <v>188</v>
      </c>
      <c r="C61" s="84" t="str">
        <f>VLOOKUP($B61,'Іменні заявки'!$A:$J,2,FALSE)</f>
        <v>Заяць Роман Володимирович</v>
      </c>
      <c r="D61" s="85">
        <f>VLOOKUP($B61,'Іменні заявки'!$A:$J,3,FALSE)</f>
        <v>33331</v>
      </c>
      <c r="E61" s="86" t="str">
        <f>VLOOKUP($B61,'Іменні заявки'!$A:$J,4,FALSE)</f>
        <v>б/р</v>
      </c>
      <c r="F61" s="509"/>
      <c r="G61" s="512"/>
      <c r="H61" s="515"/>
      <c r="I61" s="515"/>
      <c r="J61" s="515"/>
      <c r="K61" s="87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61" s="88" t="str">
        <f>VLOOKUP($B61,'Іменні заявки'!$A:$J,10,FALSE)</f>
        <v>Герич В.В.</v>
      </c>
      <c r="O61" s="78"/>
    </row>
    <row r="62" spans="1:15" ht="12.75" customHeight="1">
      <c r="A62" s="486">
        <v>9</v>
      </c>
      <c r="B62" s="54">
        <v>141</v>
      </c>
      <c r="C62" s="74" t="str">
        <f>VLOOKUP($B62,'Іменні заявки'!$A:$J,2,FALSE)</f>
        <v>Кожевніков  Антон Володимирович</v>
      </c>
      <c r="D62" s="75">
        <f>VLOOKUP($B62,'Іменні заявки'!$A:$J,3,FALSE)</f>
        <v>30520</v>
      </c>
      <c r="E62" s="76" t="str">
        <f>VLOOKUP($B62,'Іменні заявки'!$A:$J,4,FALSE)</f>
        <v>б/р</v>
      </c>
      <c r="F62" s="507">
        <f>VLOOKUP($B62-RIGHT($B62,1),'Прот.рез.Кр.-пох.'!$A:$AA,25,FALSE)</f>
        <v>0.14972222222222223</v>
      </c>
      <c r="G62" s="510">
        <f>IF(ISERROR($F62),"—",IF(OR(ISTEXT($F62),$F62=""),"—",IF(VLOOKUP($B62-RIGHT($B62,1),'Проток.рез.КСП'!A:Y,25,FALSE)&lt;&gt;"",VLOOKUP($B62-RIGHT($B62,1),'Проток.рез.КСП'!A:Y,25,FALSE),ROUND($F62/$F$14*100,2))))</f>
        <v>174.43</v>
      </c>
      <c r="H62" s="513" t="str">
        <f>VLOOKUP($B62,'Іменні заявки'!$A:$J,8,FALSE)</f>
        <v>Старокостянтин. р-н</v>
      </c>
      <c r="I62" s="513" t="str">
        <f>VLOOKUP($B62,'Іменні заявки'!$A:$J,7,FALSE)</f>
        <v>Старокостянтин. р-ну</v>
      </c>
      <c r="J62" s="513">
        <f>VLOOKUP($B62,'Іменні заявки'!$A:$J,9,FALSE)</f>
      </c>
      <c r="K62" s="53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2" s="77" t="str">
        <f>VLOOKUP($B62,'Іменні заявки'!$A:$J,10,FALSE)</f>
        <v>Кожевніков А. В.</v>
      </c>
      <c r="O62" s="78"/>
    </row>
    <row r="63" spans="1:15" ht="12.75" customHeight="1">
      <c r="A63" s="487"/>
      <c r="B63" s="56">
        <v>142</v>
      </c>
      <c r="C63" s="79" t="str">
        <f>VLOOKUP($B63,'Іменні заявки'!$A:$J,2,FALSE)</f>
        <v>Маринчак Дмитро Іванович</v>
      </c>
      <c r="D63" s="80">
        <f>VLOOKUP($B63,'Іменні заявки'!$A:$J,3,FALSE)</f>
        <v>32818</v>
      </c>
      <c r="E63" s="81" t="str">
        <f>VLOOKUP($B63,'Іменні заявки'!$A:$J,4,FALSE)</f>
        <v>б/р</v>
      </c>
      <c r="F63" s="508"/>
      <c r="G63" s="511"/>
      <c r="H63" s="514"/>
      <c r="I63" s="514"/>
      <c r="J63" s="514"/>
      <c r="K63" s="55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3" s="82" t="str">
        <f>VLOOKUP($B63,'Іменні заявки'!$A:$J,10,FALSE)</f>
        <v>Кожевніков А. В.</v>
      </c>
      <c r="O63" s="78"/>
    </row>
    <row r="64" spans="1:15" ht="12.75" customHeight="1">
      <c r="A64" s="487"/>
      <c r="B64" s="56">
        <v>143</v>
      </c>
      <c r="C64" s="79" t="str">
        <f>VLOOKUP($B64,'Іменні заявки'!$A:$J,2,FALSE)</f>
        <v>Пастух Олександр Васильович</v>
      </c>
      <c r="D64" s="80">
        <f>VLOOKUP($B64,'Іменні заявки'!$A:$J,3,FALSE)</f>
        <v>33228</v>
      </c>
      <c r="E64" s="81" t="str">
        <f>VLOOKUP($B64,'Іменні заявки'!$A:$J,4,FALSE)</f>
        <v>б/р</v>
      </c>
      <c r="F64" s="508"/>
      <c r="G64" s="511"/>
      <c r="H64" s="514"/>
      <c r="I64" s="514"/>
      <c r="J64" s="514"/>
      <c r="K64" s="55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4" s="82" t="str">
        <f>VLOOKUP($B64,'Іменні заявки'!$A:$J,10,FALSE)</f>
        <v>Кожевніков А. В.</v>
      </c>
      <c r="O64" s="78"/>
    </row>
    <row r="65" spans="1:15" ht="12.75" customHeight="1">
      <c r="A65" s="487"/>
      <c r="B65" s="56">
        <v>144</v>
      </c>
      <c r="C65" s="79" t="str">
        <f>VLOOKUP($B65,'Іменні заявки'!$A:$J,2,FALSE)</f>
        <v>Поліщук Андрій Олександрович</v>
      </c>
      <c r="D65" s="80">
        <f>VLOOKUP($B65,'Іменні заявки'!$A:$J,3,FALSE)</f>
        <v>32474</v>
      </c>
      <c r="E65" s="81" t="str">
        <f>VLOOKUP($B65,'Іменні заявки'!$A:$J,4,FALSE)</f>
        <v>б/р</v>
      </c>
      <c r="F65" s="508"/>
      <c r="G65" s="511"/>
      <c r="H65" s="514"/>
      <c r="I65" s="514"/>
      <c r="J65" s="514"/>
      <c r="K65" s="55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5" s="82" t="str">
        <f>VLOOKUP($B65,'Іменні заявки'!$A:$J,10,FALSE)</f>
        <v>Кожевніков А. В.</v>
      </c>
      <c r="O65" s="78"/>
    </row>
    <row r="66" spans="1:15" ht="12.75" customHeight="1">
      <c r="A66" s="487"/>
      <c r="B66" s="56">
        <v>145</v>
      </c>
      <c r="C66" s="79" t="str">
        <f>VLOOKUP($B66,'Іменні заявки'!$A:$J,2,FALSE)</f>
        <v>Савчук Ганна Григорівна</v>
      </c>
      <c r="D66" s="80">
        <f>VLOOKUP($B66,'Іменні заявки'!$A:$J,3,FALSE)</f>
        <v>33624</v>
      </c>
      <c r="E66" s="81" t="str">
        <f>VLOOKUP($B66,'Іменні заявки'!$A:$J,4,FALSE)</f>
        <v>б/р</v>
      </c>
      <c r="F66" s="508"/>
      <c r="G66" s="511"/>
      <c r="H66" s="514"/>
      <c r="I66" s="514"/>
      <c r="J66" s="514"/>
      <c r="K66" s="55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6" s="82" t="str">
        <f>VLOOKUP($B66,'Іменні заявки'!$A:$J,10,FALSE)</f>
        <v>Кожевніков А. В.</v>
      </c>
      <c r="O66" s="78"/>
    </row>
    <row r="67" spans="1:15" ht="12.75" customHeight="1" thickBot="1">
      <c r="A67" s="506"/>
      <c r="B67" s="83">
        <v>146</v>
      </c>
      <c r="C67" s="84" t="str">
        <f>VLOOKUP($B67,'Іменні заявки'!$A:$J,2,FALSE)</f>
        <v>Войтенко Сергій Анатолійович</v>
      </c>
      <c r="D67" s="85">
        <f>VLOOKUP($B67,'Іменні заявки'!$A:$J,3,FALSE)</f>
        <v>32420</v>
      </c>
      <c r="E67" s="86" t="str">
        <f>VLOOKUP($B67,'Іменні заявки'!$A:$J,4,FALSE)</f>
        <v>б/р</v>
      </c>
      <c r="F67" s="509"/>
      <c r="G67" s="512"/>
      <c r="H67" s="515"/>
      <c r="I67" s="515"/>
      <c r="J67" s="515"/>
      <c r="K67" s="87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7" s="88" t="str">
        <f>VLOOKUP($B67,'Іменні заявки'!$A:$J,10,FALSE)</f>
        <v>Кожевніков А. В.</v>
      </c>
      <c r="O67" s="78"/>
    </row>
    <row r="68" spans="1:15" ht="12.75" customHeight="1">
      <c r="A68" s="486">
        <v>10</v>
      </c>
      <c r="B68" s="54">
        <v>242</v>
      </c>
      <c r="C68" s="74" t="str">
        <f>VLOOKUP($B68,'Іменні заявки'!$A:$J,2,FALSE)</f>
        <v>Михальчук Володимир Олексійович</v>
      </c>
      <c r="D68" s="75">
        <f>VLOOKUP($B68,'Іменні заявки'!$A:$J,3,FALSE)</f>
        <v>31536</v>
      </c>
      <c r="E68" s="76" t="str">
        <f>VLOOKUP($B68,'Іменні заявки'!$A:$J,4,FALSE)</f>
        <v>ІІ</v>
      </c>
      <c r="F68" s="507">
        <f>VLOOKUP($B68-RIGHT($B68,1),'Прот.рез.Кр.-пох.'!$A:$AA,25,FALSE)</f>
        <v>0.1820138888888889</v>
      </c>
      <c r="G68" s="510">
        <f>IF(ISERROR($F68),"—",IF(OR(ISTEXT($F68),$F68=""),"—",IF(VLOOKUP($B68-RIGHT($B68,1),'Проток.рез.КСП'!A:Y,25,FALSE)&lt;&gt;"",VLOOKUP($B68-RIGHT($B68,1),'Проток.рез.КСП'!A:Y,25,FALSE),ROUND($F68/$F$14*100,2))))</f>
        <v>212.06</v>
      </c>
      <c r="H68" s="513" t="str">
        <f>VLOOKUP($B68,'Іменні заявки'!$A:$J,8,FALSE)</f>
        <v>м.Старокостянтинів</v>
      </c>
      <c r="I68" s="513" t="str">
        <f>VLOOKUP($B68,'Іменні заявки'!$A:$J,7,FALSE)</f>
        <v>м.Старокостянтинів</v>
      </c>
      <c r="J68" s="513">
        <f>VLOOKUP($B68,'Іменні заявки'!$A:$J,9,FALSE)</f>
      </c>
      <c r="K68" s="53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68" s="77" t="str">
        <f>VLOOKUP($B68,'Іменні заявки'!$A:$J,10,FALSE)</f>
        <v>Скурський С.А.</v>
      </c>
      <c r="O68" s="78"/>
    </row>
    <row r="69" spans="1:15" ht="12.75" customHeight="1">
      <c r="A69" s="487"/>
      <c r="B69" s="56">
        <v>241</v>
      </c>
      <c r="C69" s="79" t="str">
        <f>VLOOKUP($B69,'Іменні заявки'!$A:$J,2,FALSE)</f>
        <v>Скурський Сергій Анатолійович</v>
      </c>
      <c r="D69" s="80">
        <f>VLOOKUP($B69,'Іменні заявки'!$A:$J,3,FALSE)</f>
        <v>31402</v>
      </c>
      <c r="E69" s="81" t="str">
        <f>VLOOKUP($B69,'Іменні заявки'!$A:$J,4,FALSE)</f>
        <v>ІІ</v>
      </c>
      <c r="F69" s="508"/>
      <c r="G69" s="511"/>
      <c r="H69" s="514"/>
      <c r="I69" s="514"/>
      <c r="J69" s="514"/>
      <c r="K69" s="55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69" s="82" t="str">
        <f>VLOOKUP($B69,'Іменні заявки'!$A:$J,10,FALSE)</f>
        <v>Скурський С.А.</v>
      </c>
      <c r="O69" s="78"/>
    </row>
    <row r="70" spans="1:15" ht="12.75" customHeight="1">
      <c r="A70" s="487"/>
      <c r="B70" s="56">
        <v>246</v>
      </c>
      <c r="C70" s="79" t="str">
        <f>VLOOKUP($B70,'Іменні заявки'!$A:$J,2,FALSE)</f>
        <v>Кравчук Віктор Володимирович</v>
      </c>
      <c r="D70" s="80">
        <f>VLOOKUP($B70,'Іменні заявки'!$A:$J,3,FALSE)</f>
        <v>26384</v>
      </c>
      <c r="E70" s="81" t="str">
        <f>VLOOKUP($B70,'Іменні заявки'!$A:$J,4,FALSE)</f>
        <v>б/р</v>
      </c>
      <c r="F70" s="508"/>
      <c r="G70" s="511"/>
      <c r="H70" s="514"/>
      <c r="I70" s="514"/>
      <c r="J70" s="514"/>
      <c r="K70" s="55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70" s="82" t="str">
        <f>VLOOKUP($B70,'Іменні заявки'!$A:$J,10,FALSE)</f>
        <v>Скурський С.А.</v>
      </c>
      <c r="O70" s="78"/>
    </row>
    <row r="71" spans="1:15" ht="12.75" customHeight="1">
      <c r="A71" s="487"/>
      <c r="B71" s="56">
        <v>245</v>
      </c>
      <c r="C71" s="79" t="str">
        <f>VLOOKUP($B71,'Іменні заявки'!$A:$J,2,FALSE)</f>
        <v>Кольков Володимир Іванович</v>
      </c>
      <c r="D71" s="80">
        <f>VLOOKUP($B71,'Іменні заявки'!$A:$J,3,FALSE)</f>
        <v>29311</v>
      </c>
      <c r="E71" s="81" t="str">
        <f>VLOOKUP($B71,'Іменні заявки'!$A:$J,4,FALSE)</f>
        <v>б/р</v>
      </c>
      <c r="F71" s="508"/>
      <c r="G71" s="511"/>
      <c r="H71" s="514"/>
      <c r="I71" s="514"/>
      <c r="J71" s="514"/>
      <c r="K71" s="55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71" s="82" t="str">
        <f>VLOOKUP($B71,'Іменні заявки'!$A:$J,10,FALSE)</f>
        <v>Скурський С.А.</v>
      </c>
      <c r="O71" s="78"/>
    </row>
    <row r="72" spans="1:15" ht="12.75" customHeight="1">
      <c r="A72" s="487"/>
      <c r="B72" s="56">
        <v>247</v>
      </c>
      <c r="C72" s="79" t="str">
        <f>VLOOKUP($B72,'Іменні заявки'!$A:$J,2,FALSE)</f>
        <v>Бабик Олександр Миколайович</v>
      </c>
      <c r="D72" s="80">
        <f>VLOOKUP($B72,'Іменні заявки'!$A:$J,3,FALSE)</f>
        <v>29070</v>
      </c>
      <c r="E72" s="81" t="str">
        <f>VLOOKUP($B72,'Іменні заявки'!$A:$J,4,FALSE)</f>
        <v>б/р</v>
      </c>
      <c r="F72" s="508"/>
      <c r="G72" s="511"/>
      <c r="H72" s="514"/>
      <c r="I72" s="514"/>
      <c r="J72" s="514"/>
      <c r="K72" s="55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72" s="82" t="str">
        <f>VLOOKUP($B72,'Іменні заявки'!$A:$J,10,FALSE)</f>
        <v>Скурський С.А.</v>
      </c>
      <c r="O72" s="78"/>
    </row>
    <row r="73" spans="1:15" ht="12.75" customHeight="1" thickBot="1">
      <c r="A73" s="506"/>
      <c r="B73" s="83">
        <v>243</v>
      </c>
      <c r="C73" s="84" t="str">
        <f>VLOOKUP($B73,'Іменні заявки'!$A:$J,2,FALSE)</f>
        <v>Рябова Вікторія Володимирівна</v>
      </c>
      <c r="D73" s="85">
        <f>VLOOKUP($B73,'Іменні заявки'!$A:$J,3,FALSE)</f>
        <v>32256</v>
      </c>
      <c r="E73" s="86" t="str">
        <f>VLOOKUP($B73,'Іменні заявки'!$A:$J,4,FALSE)</f>
        <v>ІІІ</v>
      </c>
      <c r="F73" s="509"/>
      <c r="G73" s="512"/>
      <c r="H73" s="515"/>
      <c r="I73" s="515"/>
      <c r="J73" s="515"/>
      <c r="K73" s="87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73" s="88" t="str">
        <f>VLOOKUP($B73,'Іменні заявки'!$A:$J,10,FALSE)</f>
        <v>Скурський С.А.</v>
      </c>
      <c r="O73" s="78"/>
    </row>
    <row r="74" spans="1:12" ht="12.75" customHeight="1">
      <c r="A74" s="486">
        <v>11</v>
      </c>
      <c r="B74" s="54">
        <v>261</v>
      </c>
      <c r="C74" s="74" t="str">
        <f>VLOOKUP($B74,'Іменні заявки'!$A:$J,2,FALSE)</f>
        <v>Загоронюк Юрій Олександрович</v>
      </c>
      <c r="D74" s="75">
        <f>VLOOKUP($B74,'Іменні заявки'!$A:$J,3,FALSE)</f>
        <v>31057</v>
      </c>
      <c r="E74" s="76" t="str">
        <f>VLOOKUP($B74,'Іменні заявки'!$A:$J,4,FALSE)</f>
        <v>І</v>
      </c>
      <c r="F74" s="507">
        <f>VLOOKUP($B74-RIGHT($B74,1),'Прот.рез.Кр.-пох.'!$A:$AA,25,FALSE)</f>
        <v>0.20493055555555556</v>
      </c>
      <c r="G74" s="510">
        <f>IF(ISERROR($F74),"—",IF(OR(ISTEXT($F74),$F74=""),"—",IF(VLOOKUP($B74-RIGHT($B74,1),'Проток.рез.КСП'!A:Y,25,FALSE)&lt;&gt;"",VLOOKUP($B74-RIGHT($B74,1),'Проток.рез.КСП'!A:Y,25,FALSE),ROUND($F74/$F$14*100,2))))</f>
        <v>238.75</v>
      </c>
      <c r="H74" s="513" t="str">
        <f>VLOOKUP($B74,'Іменні заявки'!$A:$J,8,FALSE)</f>
        <v>м.Шепетівка</v>
      </c>
      <c r="I74" s="513" t="str">
        <f>VLOOKUP($B74,'Іменні заявки'!$A:$J,7,FALSE)</f>
        <v>м.Шепетівки</v>
      </c>
      <c r="J74" s="513">
        <f>VLOOKUP($B74,'Іменні заявки'!$A:$J,9,FALSE)</f>
      </c>
      <c r="K74" s="53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4" s="77" t="str">
        <f>VLOOKUP($B74,'Іменні заявки'!$A:$J,10,FALSE)</f>
        <v>Загоронюк Ю.О.</v>
      </c>
    </row>
    <row r="75" spans="1:12" ht="12.75" customHeight="1">
      <c r="A75" s="487"/>
      <c r="B75" s="56">
        <v>262</v>
      </c>
      <c r="C75" s="79" t="str">
        <f>VLOOKUP($B75,'Іменні заявки'!$A:$J,2,FALSE)</f>
        <v>Гетманчук Олена Володимирівна</v>
      </c>
      <c r="D75" s="80">
        <f>VLOOKUP($B75,'Іменні заявки'!$A:$J,3,FALSE)</f>
        <v>29033</v>
      </c>
      <c r="E75" s="81" t="str">
        <f>VLOOKUP($B75,'Іменні заявки'!$A:$J,4,FALSE)</f>
        <v>ІІІ</v>
      </c>
      <c r="F75" s="508"/>
      <c r="G75" s="511"/>
      <c r="H75" s="514"/>
      <c r="I75" s="514"/>
      <c r="J75" s="514"/>
      <c r="K75" s="55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5" s="82" t="str">
        <f>VLOOKUP($B75,'Іменні заявки'!$A:$J,10,FALSE)</f>
        <v>Загоронюк Ю.О.</v>
      </c>
    </row>
    <row r="76" spans="1:12" ht="12.75" customHeight="1">
      <c r="A76" s="487"/>
      <c r="B76" s="56">
        <v>263</v>
      </c>
      <c r="C76" s="79" t="str">
        <f>VLOOKUP($B76,'Іменні заявки'!$A:$J,2,FALSE)</f>
        <v>Чілій Володимир Анатолійович</v>
      </c>
      <c r="D76" s="80">
        <f>VLOOKUP($B76,'Іменні заявки'!$A:$J,3,FALSE)</f>
        <v>31686</v>
      </c>
      <c r="E76" s="81" t="str">
        <f>VLOOKUP($B76,'Іменні заявки'!$A:$J,4,FALSE)</f>
        <v>ІІІ</v>
      </c>
      <c r="F76" s="508"/>
      <c r="G76" s="511"/>
      <c r="H76" s="514"/>
      <c r="I76" s="514"/>
      <c r="J76" s="514"/>
      <c r="K76" s="55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6" s="82" t="str">
        <f>VLOOKUP($B76,'Іменні заявки'!$A:$J,10,FALSE)</f>
        <v>Загоронюк Ю.О.</v>
      </c>
    </row>
    <row r="77" spans="1:12" ht="12.75" customHeight="1">
      <c r="A77" s="487"/>
      <c r="B77" s="56">
        <v>264</v>
      </c>
      <c r="C77" s="79" t="str">
        <f>VLOOKUP($B77,'Іменні заявки'!$A:$J,2,FALSE)</f>
        <v>Дмитрук Вадим Миколайович</v>
      </c>
      <c r="D77" s="80">
        <f>VLOOKUP($B77,'Іменні заявки'!$A:$J,3,FALSE)</f>
        <v>33118</v>
      </c>
      <c r="E77" s="81" t="str">
        <f>VLOOKUP($B77,'Іменні заявки'!$A:$J,4,FALSE)</f>
        <v>ІІІ</v>
      </c>
      <c r="F77" s="508"/>
      <c r="G77" s="511"/>
      <c r="H77" s="514"/>
      <c r="I77" s="514"/>
      <c r="J77" s="514"/>
      <c r="K77" s="55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7" s="82" t="str">
        <f>VLOOKUP($B77,'Іменні заявки'!$A:$J,10,FALSE)</f>
        <v>Загоронюк Ю.О.</v>
      </c>
    </row>
    <row r="78" spans="1:12" ht="12.75" customHeight="1">
      <c r="A78" s="487"/>
      <c r="B78" s="56">
        <v>265</v>
      </c>
      <c r="C78" s="79" t="str">
        <f>VLOOKUP($B78,'Іменні заявки'!$A:$J,2,FALSE)</f>
        <v>Мельник Анастасія Олександрівна</v>
      </c>
      <c r="D78" s="80">
        <f>VLOOKUP($B78,'Іменні заявки'!$A:$J,3,FALSE)</f>
        <v>31802</v>
      </c>
      <c r="E78" s="81" t="str">
        <f>VLOOKUP($B78,'Іменні заявки'!$A:$J,4,FALSE)</f>
        <v>ІІІ</v>
      </c>
      <c r="F78" s="508"/>
      <c r="G78" s="511"/>
      <c r="H78" s="514"/>
      <c r="I78" s="514"/>
      <c r="J78" s="514"/>
      <c r="K78" s="55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8" s="82" t="str">
        <f>VLOOKUP($B78,'Іменні заявки'!$A:$J,10,FALSE)</f>
        <v>Загоронюк Ю.О.</v>
      </c>
    </row>
    <row r="79" spans="1:12" ht="12.75" customHeight="1" thickBot="1">
      <c r="A79" s="506"/>
      <c r="B79" s="83">
        <v>267</v>
      </c>
      <c r="C79" s="84" t="str">
        <f>VLOOKUP($B79,'Іменні заявки'!$A:$J,2,FALSE)</f>
        <v>Самойлюк Володимир Трохимович</v>
      </c>
      <c r="D79" s="85">
        <f>VLOOKUP($B79,'Іменні заявки'!$A:$J,3,FALSE)</f>
        <v>31484</v>
      </c>
      <c r="E79" s="86" t="str">
        <f>VLOOKUP($B79,'Іменні заявки'!$A:$J,4,FALSE)</f>
        <v>І</v>
      </c>
      <c r="F79" s="509"/>
      <c r="G79" s="512"/>
      <c r="H79" s="515"/>
      <c r="I79" s="515"/>
      <c r="J79" s="515"/>
      <c r="K79" s="87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9" s="88" t="str">
        <f>VLOOKUP($B79,'Іменні заявки'!$A:$J,10,FALSE)</f>
        <v>Загоронюк Ю.О.</v>
      </c>
    </row>
    <row r="80" spans="1:12" ht="12.75" customHeight="1">
      <c r="A80" s="486">
        <v>12</v>
      </c>
      <c r="B80" s="54">
        <v>111</v>
      </c>
      <c r="C80" s="74" t="str">
        <f>VLOOKUP($B80,'Іменні заявки'!$A:$J,2,FALSE)</f>
        <v>Посишен Віталій Володимирович</v>
      </c>
      <c r="D80" s="75">
        <f>VLOOKUP($B80,'Іменні заявки'!$A:$J,3,FALSE)</f>
        <v>27387</v>
      </c>
      <c r="E80" s="76" t="str">
        <f>VLOOKUP($B80,'Іменні заявки'!$A:$J,4,FALSE)</f>
        <v>б/р</v>
      </c>
      <c r="F80" s="507">
        <f>VLOOKUP($B80-RIGHT($B80,1),'Прот.рез.Кр.-пох.'!$A:$AA,25,FALSE)</f>
        <v>0.20840277777777777</v>
      </c>
      <c r="G80" s="510">
        <f>IF(ISERROR($F80),"—",IF(OR(ISTEXT($F80),$F80=""),"—",IF(VLOOKUP($B80-RIGHT($B80,1),'Проток.рез.КСП'!A:Y,25,FALSE)&lt;&gt;"",VLOOKUP($B80-RIGHT($B80,1),'Проток.рез.КСП'!A:Y,25,FALSE),ROUND($F80/$F$14*100,2))))</f>
        <v>242.8</v>
      </c>
      <c r="H80" s="513" t="str">
        <f>VLOOKUP($B80,'Іменні заявки'!$A:$J,8,FALSE)</f>
        <v>Новоушицький р-н</v>
      </c>
      <c r="I80" s="513" t="str">
        <f>VLOOKUP($B80,'Іменні заявки'!$A:$J,7,FALSE)</f>
        <v>Новоушицького р-ну</v>
      </c>
      <c r="J80" s="513">
        <f>VLOOKUP($B80,'Іменні заявки'!$A:$J,9,FALSE)</f>
      </c>
      <c r="K80" s="53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0" s="77" t="str">
        <f>VLOOKUP($B80,'Іменні заявки'!$A:$J,10,FALSE)</f>
        <v>Посишен В.В.</v>
      </c>
    </row>
    <row r="81" spans="1:12" ht="12.75" customHeight="1">
      <c r="A81" s="487"/>
      <c r="B81" s="56">
        <v>114</v>
      </c>
      <c r="C81" s="79" t="str">
        <f>VLOOKUP($B81,'Іменні заявки'!$A:$J,2,FALSE)</f>
        <v>Макогончук Вадим Петрович</v>
      </c>
      <c r="D81" s="80">
        <f>VLOOKUP($B81,'Іменні заявки'!$A:$J,3,FALSE)</f>
        <v>34375</v>
      </c>
      <c r="E81" s="81" t="str">
        <f>VLOOKUP($B81,'Іменні заявки'!$A:$J,4,FALSE)</f>
        <v>б/р</v>
      </c>
      <c r="F81" s="508"/>
      <c r="G81" s="511"/>
      <c r="H81" s="514"/>
      <c r="I81" s="514"/>
      <c r="J81" s="514"/>
      <c r="K81" s="55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1" s="82" t="str">
        <f>VLOOKUP($B81,'Іменні заявки'!$A:$J,10,FALSE)</f>
        <v>Посишен В.В.</v>
      </c>
    </row>
    <row r="82" spans="1:12" ht="12.75" customHeight="1">
      <c r="A82" s="487"/>
      <c r="B82" s="56">
        <v>113</v>
      </c>
      <c r="C82" s="79" t="str">
        <f>VLOOKUP($B82,'Іменні заявки'!$A:$J,2,FALSE)</f>
        <v>Бурбас Олександр Петрович</v>
      </c>
      <c r="D82" s="80">
        <f>VLOOKUP($B82,'Іменні заявки'!$A:$J,3,FALSE)</f>
        <v>34183</v>
      </c>
      <c r="E82" s="81" t="str">
        <f>VLOOKUP($B82,'Іменні заявки'!$A:$J,4,FALSE)</f>
        <v>б/р</v>
      </c>
      <c r="F82" s="508"/>
      <c r="G82" s="511"/>
      <c r="H82" s="514"/>
      <c r="I82" s="514"/>
      <c r="J82" s="514"/>
      <c r="K82" s="55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2" s="82" t="str">
        <f>VLOOKUP($B82,'Іменні заявки'!$A:$J,10,FALSE)</f>
        <v>Посишен В.В.</v>
      </c>
    </row>
    <row r="83" spans="1:12" ht="12.75" customHeight="1">
      <c r="A83" s="487"/>
      <c r="B83" s="56">
        <v>115</v>
      </c>
      <c r="C83" s="79" t="str">
        <f>VLOOKUP($B83,'Іменні заявки'!$A:$J,2,FALSE)</f>
        <v>Дубіневич Олександр Васильович</v>
      </c>
      <c r="D83" s="80">
        <f>VLOOKUP($B83,'Іменні заявки'!$A:$J,3,FALSE)</f>
        <v>31815</v>
      </c>
      <c r="E83" s="81" t="str">
        <f>VLOOKUP($B83,'Іменні заявки'!$A:$J,4,FALSE)</f>
        <v>б/р</v>
      </c>
      <c r="F83" s="508"/>
      <c r="G83" s="511"/>
      <c r="H83" s="514"/>
      <c r="I83" s="514"/>
      <c r="J83" s="514"/>
      <c r="K83" s="55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3" s="82" t="str">
        <f>VLOOKUP($B83,'Іменні заявки'!$A:$J,10,FALSE)</f>
        <v>Посишен В.В.</v>
      </c>
    </row>
    <row r="84" spans="1:12" ht="12.75" customHeight="1">
      <c r="A84" s="487"/>
      <c r="B84" s="56">
        <v>116</v>
      </c>
      <c r="C84" s="79" t="str">
        <f>VLOOKUP($B84,'Іменні заявки'!$A:$J,2,FALSE)</f>
        <v>Пітик Ольга Олександрівна</v>
      </c>
      <c r="D84" s="80">
        <f>VLOOKUP($B84,'Іменні заявки'!$A:$J,3,FALSE)</f>
        <v>33179</v>
      </c>
      <c r="E84" s="81" t="str">
        <f>VLOOKUP($B84,'Іменні заявки'!$A:$J,4,FALSE)</f>
        <v>б/р</v>
      </c>
      <c r="F84" s="508"/>
      <c r="G84" s="511"/>
      <c r="H84" s="514"/>
      <c r="I84" s="514"/>
      <c r="J84" s="514"/>
      <c r="K84" s="55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4" s="82" t="str">
        <f>VLOOKUP($B84,'Іменні заявки'!$A:$J,10,FALSE)</f>
        <v>Посишен В.В.</v>
      </c>
    </row>
    <row r="85" spans="1:12" ht="12.75" customHeight="1" thickBot="1">
      <c r="A85" s="506"/>
      <c r="B85" s="83">
        <v>117</v>
      </c>
      <c r="C85" s="84" t="str">
        <f>VLOOKUP($B85,'Іменні заявки'!$A:$J,2,FALSE)</f>
        <v>Іванов Олександр Леонідович</v>
      </c>
      <c r="D85" s="85">
        <f>VLOOKUP($B85,'Іменні заявки'!$A:$J,3,FALSE)</f>
        <v>33096</v>
      </c>
      <c r="E85" s="86" t="str">
        <f>VLOOKUP($B85,'Іменні заявки'!$A:$J,4,FALSE)</f>
        <v>б/р</v>
      </c>
      <c r="F85" s="509"/>
      <c r="G85" s="512"/>
      <c r="H85" s="515"/>
      <c r="I85" s="515"/>
      <c r="J85" s="515"/>
      <c r="K85" s="87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5" s="88" t="str">
        <f>VLOOKUP($B85,'Іменні заявки'!$A:$J,10,FALSE)</f>
        <v>Посишен В.В.</v>
      </c>
    </row>
    <row r="86" spans="1:12" ht="12.75" customHeight="1">
      <c r="A86" s="486">
        <v>13</v>
      </c>
      <c r="B86" s="54">
        <v>91</v>
      </c>
      <c r="C86" s="74" t="str">
        <f>VLOOKUP($B86,'Іменні заявки'!$A:$J,2,FALSE)</f>
        <v>Андрійчук Борис Володимирович</v>
      </c>
      <c r="D86" s="75">
        <f>VLOOKUP($B86,'Іменні заявки'!$A:$J,3,FALSE)</f>
        <v>31939</v>
      </c>
      <c r="E86" s="76" t="str">
        <f>VLOOKUP($B86,'Іменні заявки'!$A:$J,4,FALSE)</f>
        <v>б/р</v>
      </c>
      <c r="F86" s="507">
        <f>VLOOKUP($B86-RIGHT($B86,1),'Прот.рез.Кр.-пох.'!$A:$AA,25,FALSE)</f>
        <v>0.22125</v>
      </c>
      <c r="G86" s="510">
        <f>IF(ISERROR($F86),"—",IF(OR(ISTEXT($F86),$F86=""),"—",IF(VLOOKUP($B86-RIGHT($B86,1),'Проток.рез.КСП'!A:Y,25,FALSE)&lt;&gt;"",VLOOKUP($B86-RIGHT($B86,1),'Проток.рез.КСП'!A:Y,25,FALSE),ROUND($F86/$F$14*100,2))))</f>
        <v>257.77</v>
      </c>
      <c r="H86" s="513" t="str">
        <f>VLOOKUP($B86,'Іменні заявки'!$A:$J,8,FALSE)</f>
        <v>Красилівський р-н</v>
      </c>
      <c r="I86" s="513" t="str">
        <f>VLOOKUP($B86,'Іменні заявки'!$A:$J,7,FALSE)</f>
        <v>Красилівського р-ну</v>
      </c>
      <c r="J86" s="513">
        <f>VLOOKUP($B86,'Іменні заявки'!$A:$J,9,FALSE)</f>
      </c>
      <c r="K86" s="53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86" s="77" t="str">
        <f>VLOOKUP($B86,'Іменні заявки'!$A:$J,10,FALSE)</f>
        <v>Тустановський М,В.</v>
      </c>
    </row>
    <row r="87" spans="1:12" ht="12.75" customHeight="1">
      <c r="A87" s="487"/>
      <c r="B87" s="56">
        <v>93</v>
      </c>
      <c r="C87" s="79" t="str">
        <f>VLOOKUP($B87,'Іменні заявки'!$A:$J,2,FALSE)</f>
        <v>Гебда Ольга Анатоліївна</v>
      </c>
      <c r="D87" s="80">
        <f>VLOOKUP($B87,'Іменні заявки'!$A:$J,3,FALSE)</f>
        <v>32803</v>
      </c>
      <c r="E87" s="81" t="str">
        <f>VLOOKUP($B87,'Іменні заявки'!$A:$J,4,FALSE)</f>
        <v>б/р</v>
      </c>
      <c r="F87" s="508"/>
      <c r="G87" s="511"/>
      <c r="H87" s="514"/>
      <c r="I87" s="514"/>
      <c r="J87" s="514"/>
      <c r="K87" s="55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87" s="82" t="str">
        <f>VLOOKUP($B87,'Іменні заявки'!$A:$J,10,FALSE)</f>
        <v>Тустановський М,В.</v>
      </c>
    </row>
    <row r="88" spans="1:12" ht="12.75" customHeight="1">
      <c r="A88" s="487"/>
      <c r="B88" s="56">
        <v>94</v>
      </c>
      <c r="C88" s="79" t="str">
        <f>VLOOKUP($B88,'Іменні заявки'!$A:$J,2,FALSE)</f>
        <v>Мироненко Василь Олександрович</v>
      </c>
      <c r="D88" s="80">
        <f>VLOOKUP($B88,'Іменні заявки'!$A:$J,3,FALSE)</f>
        <v>32858</v>
      </c>
      <c r="E88" s="81" t="str">
        <f>VLOOKUP($B88,'Іменні заявки'!$A:$J,4,FALSE)</f>
        <v>б/р</v>
      </c>
      <c r="F88" s="508"/>
      <c r="G88" s="511"/>
      <c r="H88" s="514"/>
      <c r="I88" s="514"/>
      <c r="J88" s="514"/>
      <c r="K88" s="55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88" s="82" t="str">
        <f>VLOOKUP($B88,'Іменні заявки'!$A:$J,10,FALSE)</f>
        <v>Тустановський М,В.</v>
      </c>
    </row>
    <row r="89" spans="1:12" ht="12.75" customHeight="1">
      <c r="A89" s="487"/>
      <c r="B89" s="56">
        <v>95</v>
      </c>
      <c r="C89" s="79" t="str">
        <f>VLOOKUP($B89,'Іменні заявки'!$A:$J,2,FALSE)</f>
        <v>Данилюк Ілона Юріївна</v>
      </c>
      <c r="D89" s="80">
        <f>VLOOKUP($B89,'Іменні заявки'!$A:$J,3,FALSE)</f>
        <v>33260</v>
      </c>
      <c r="E89" s="81" t="str">
        <f>VLOOKUP($B89,'Іменні заявки'!$A:$J,4,FALSE)</f>
        <v>б/р</v>
      </c>
      <c r="F89" s="508"/>
      <c r="G89" s="511"/>
      <c r="H89" s="514"/>
      <c r="I89" s="514"/>
      <c r="J89" s="514"/>
      <c r="K89" s="55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89" s="82" t="str">
        <f>VLOOKUP($B89,'Іменні заявки'!$A:$J,10,FALSE)</f>
        <v>Тустановський М,В.</v>
      </c>
    </row>
    <row r="90" spans="1:12" ht="12.75" customHeight="1">
      <c r="A90" s="487"/>
      <c r="B90" s="56">
        <v>96</v>
      </c>
      <c r="C90" s="79" t="str">
        <f>VLOOKUP($B90,'Іменні заявки'!$A:$J,2,FALSE)</f>
        <v>Теслик Анатолій Петрович</v>
      </c>
      <c r="D90" s="80">
        <f>VLOOKUP($B90,'Іменні заявки'!$A:$J,3,FALSE)</f>
        <v>33783</v>
      </c>
      <c r="E90" s="81" t="str">
        <f>VLOOKUP($B90,'Іменні заявки'!$A:$J,4,FALSE)</f>
        <v>б/р</v>
      </c>
      <c r="F90" s="508"/>
      <c r="G90" s="511"/>
      <c r="H90" s="514"/>
      <c r="I90" s="514"/>
      <c r="J90" s="514"/>
      <c r="K90" s="55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90" s="82" t="str">
        <f>VLOOKUP($B90,'Іменні заявки'!$A:$J,10,FALSE)</f>
        <v>Тустановський М,В.</v>
      </c>
    </row>
    <row r="91" spans="1:12" ht="12.75" customHeight="1" thickBot="1">
      <c r="A91" s="506"/>
      <c r="B91" s="83">
        <v>97</v>
      </c>
      <c r="C91" s="84" t="str">
        <f>VLOOKUP($B91,'Іменні заявки'!$A:$J,2,FALSE)</f>
        <v>Поліщук Сергій Анатолійович</v>
      </c>
      <c r="D91" s="85">
        <f>VLOOKUP($B91,'Іменні заявки'!$A:$J,3,FALSE)</f>
        <v>34858</v>
      </c>
      <c r="E91" s="86" t="str">
        <f>VLOOKUP($B91,'Іменні заявки'!$A:$J,4,FALSE)</f>
        <v>б/р</v>
      </c>
      <c r="F91" s="509"/>
      <c r="G91" s="512"/>
      <c r="H91" s="515"/>
      <c r="I91" s="515"/>
      <c r="J91" s="515"/>
      <c r="K91" s="87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91" s="88" t="str">
        <f>VLOOKUP($B91,'Іменні заявки'!$A:$J,10,FALSE)</f>
        <v>Тустановський М,В.</v>
      </c>
    </row>
    <row r="92" spans="1:12" ht="12.75" customHeight="1">
      <c r="A92" s="486">
        <v>14</v>
      </c>
      <c r="B92" s="54">
        <v>51</v>
      </c>
      <c r="C92" s="74" t="str">
        <f>VLOOKUP($B92,'Іменні заявки'!$A:$J,2,FALSE)</f>
        <v>Скорбатюк Олег Олегович</v>
      </c>
      <c r="D92" s="75">
        <f>VLOOKUP($B92,'Іменні заявки'!$A:$J,3,FALSE)</f>
        <v>31793</v>
      </c>
      <c r="E92" s="76" t="str">
        <f>VLOOKUP($B92,'Іменні заявки'!$A:$J,4,FALSE)</f>
        <v>ІІ</v>
      </c>
      <c r="F92" s="507">
        <f>VLOOKUP($B92-RIGHT($B92,1),'Прот.рез.Кр.-пох.'!$A:$AA,25,FALSE)</f>
        <v>0.24277777777777776</v>
      </c>
      <c r="G92" s="510">
        <f>IF(ISERROR($F92),"—",IF(OR(ISTEXT($F92),$F92=""),"—",IF(VLOOKUP($B92-RIGHT($B92,1),'Проток.рез.КСП'!A:Y,25,FALSE)&lt;&gt;"",VLOOKUP($B92-RIGHT($B92,1),'Проток.рез.КСП'!A:Y,25,FALSE),ROUND($F92/$F$14*100,2))))</f>
        <v>282.85</v>
      </c>
      <c r="H92" s="513" t="str">
        <f>VLOOKUP($B92,'Іменні заявки'!$A:$J,8,FALSE)</f>
        <v>Деражнянський р-н</v>
      </c>
      <c r="I92" s="513" t="str">
        <f>VLOOKUP($B92,'Іменні заявки'!$A:$J,7,FALSE)</f>
        <v>Деражнянського р-ну</v>
      </c>
      <c r="J92" s="513">
        <f>VLOOKUP($B92,'Іменні заявки'!$A:$J,9,FALSE)</f>
      </c>
      <c r="K92" s="53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2" s="77" t="str">
        <f>VLOOKUP($B92,'Іменні заявки'!$A:$J,10,FALSE)</f>
        <v>Ніженський О.В.</v>
      </c>
    </row>
    <row r="93" spans="1:12" ht="12.75" customHeight="1">
      <c r="A93" s="487"/>
      <c r="B93" s="56">
        <v>52</v>
      </c>
      <c r="C93" s="79" t="str">
        <f>VLOOKUP($B93,'Іменні заявки'!$A:$J,2,FALSE)</f>
        <v>Савіцька Юлія Віталіївна</v>
      </c>
      <c r="D93" s="80">
        <f>VLOOKUP($B93,'Іменні заявки'!$A:$J,3,FALSE)</f>
        <v>32364</v>
      </c>
      <c r="E93" s="81" t="str">
        <f>VLOOKUP($B93,'Іменні заявки'!$A:$J,4,FALSE)</f>
        <v>б/р</v>
      </c>
      <c r="F93" s="508"/>
      <c r="G93" s="511"/>
      <c r="H93" s="514"/>
      <c r="I93" s="514"/>
      <c r="J93" s="514"/>
      <c r="K93" s="55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3" s="82" t="str">
        <f>VLOOKUP($B93,'Іменні заявки'!$A:$J,10,FALSE)</f>
        <v>Ніженський О.В.</v>
      </c>
    </row>
    <row r="94" spans="1:12" ht="12.75" customHeight="1">
      <c r="A94" s="487"/>
      <c r="B94" s="56">
        <v>53</v>
      </c>
      <c r="C94" s="79" t="str">
        <f>VLOOKUP($B94,'Іменні заявки'!$A:$J,2,FALSE)</f>
        <v>Мондра Наталія Василівна</v>
      </c>
      <c r="D94" s="80">
        <f>VLOOKUP($B94,'Іменні заявки'!$A:$J,3,FALSE)</f>
        <v>33672</v>
      </c>
      <c r="E94" s="81" t="str">
        <f>VLOOKUP($B94,'Іменні заявки'!$A:$J,4,FALSE)</f>
        <v>б/р</v>
      </c>
      <c r="F94" s="508"/>
      <c r="G94" s="511"/>
      <c r="H94" s="514"/>
      <c r="I94" s="514"/>
      <c r="J94" s="514"/>
      <c r="K94" s="55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4" s="82" t="str">
        <f>VLOOKUP($B94,'Іменні заявки'!$A:$J,10,FALSE)</f>
        <v>Ніженський О.В.</v>
      </c>
    </row>
    <row r="95" spans="1:12" ht="12.75" customHeight="1">
      <c r="A95" s="487"/>
      <c r="B95" s="56">
        <v>54</v>
      </c>
      <c r="C95" s="79" t="str">
        <f>VLOOKUP($B95,'Іменні заявки'!$A:$J,2,FALSE)</f>
        <v>Яворський Валерій Юрійович</v>
      </c>
      <c r="D95" s="80">
        <f>VLOOKUP($B95,'Іменні заявки'!$A:$J,3,FALSE)</f>
        <v>32799</v>
      </c>
      <c r="E95" s="81" t="str">
        <f>VLOOKUP($B95,'Іменні заявки'!$A:$J,4,FALSE)</f>
        <v>б/р</v>
      </c>
      <c r="F95" s="508"/>
      <c r="G95" s="511"/>
      <c r="H95" s="514"/>
      <c r="I95" s="514"/>
      <c r="J95" s="514"/>
      <c r="K95" s="55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5" s="82" t="str">
        <f>VLOOKUP($B95,'Іменні заявки'!$A:$J,10,FALSE)</f>
        <v>Ніженський О.В.</v>
      </c>
    </row>
    <row r="96" spans="1:12" ht="12.75" customHeight="1">
      <c r="A96" s="487"/>
      <c r="B96" s="56">
        <v>55</v>
      </c>
      <c r="C96" s="79" t="str">
        <f>VLOOKUP($B96,'Іменні заявки'!$A:$J,2,FALSE)</f>
        <v>Гарбар Анна Вікторівна</v>
      </c>
      <c r="D96" s="80">
        <f>VLOOKUP($B96,'Іменні заявки'!$A:$J,3,FALSE)</f>
        <v>31950</v>
      </c>
      <c r="E96" s="81" t="str">
        <f>VLOOKUP($B96,'Іменні заявки'!$A:$J,4,FALSE)</f>
        <v>б/р</v>
      </c>
      <c r="F96" s="508"/>
      <c r="G96" s="511"/>
      <c r="H96" s="514"/>
      <c r="I96" s="514"/>
      <c r="J96" s="514"/>
      <c r="K96" s="55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6" s="82" t="str">
        <f>VLOOKUP($B96,'Іменні заявки'!$A:$J,10,FALSE)</f>
        <v>Ніженський О.В.</v>
      </c>
    </row>
    <row r="97" spans="1:12" ht="12.75" customHeight="1" thickBot="1">
      <c r="A97" s="506"/>
      <c r="B97" s="83">
        <v>57</v>
      </c>
      <c r="C97" s="84" t="str">
        <f>VLOOKUP($B97,'Іменні заявки'!$A:$J,2,FALSE)</f>
        <v>Дубровський Андрій Іванович</v>
      </c>
      <c r="D97" s="85">
        <f>VLOOKUP($B97,'Іменні заявки'!$A:$J,3,FALSE)</f>
        <v>33116</v>
      </c>
      <c r="E97" s="86" t="str">
        <f>VLOOKUP($B97,'Іменні заявки'!$A:$J,4,FALSE)</f>
        <v>б/р</v>
      </c>
      <c r="F97" s="509"/>
      <c r="G97" s="512"/>
      <c r="H97" s="515"/>
      <c r="I97" s="515"/>
      <c r="J97" s="515"/>
      <c r="K97" s="87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7" s="88" t="str">
        <f>VLOOKUP($B97,'Іменні заявки'!$A:$J,10,FALSE)</f>
        <v>Ніженський О.В.</v>
      </c>
    </row>
    <row r="98" spans="1:12" ht="12.75" customHeight="1">
      <c r="A98" s="486">
        <v>15</v>
      </c>
      <c r="B98" s="54">
        <v>61</v>
      </c>
      <c r="C98" s="74" t="str">
        <f>VLOOKUP($B98,'Іменні заявки'!$A:$J,2,FALSE)</f>
        <v>Хитрюк Ігор Владиславович</v>
      </c>
      <c r="D98" s="75">
        <f>VLOOKUP($B98,'Іменні заявки'!$A:$J,3,FALSE)</f>
        <v>27812</v>
      </c>
      <c r="E98" s="76" t="str">
        <f>VLOOKUP($B98,'Іменні заявки'!$A:$J,4,FALSE)</f>
        <v>ІІІ</v>
      </c>
      <c r="F98" s="507">
        <f>VLOOKUP($B98-RIGHT($B98,1),'Прот.рез.Кр.-пох.'!$A:$AA,25,FALSE)</f>
        <v>0.2788888888888889</v>
      </c>
      <c r="G98" s="510">
        <f>IF(ISERROR($F98),"—",IF(OR(ISTEXT($F98),$F98=""),"—",IF(VLOOKUP($B98-RIGHT($B98,1),'Проток.рез.КСП'!A:Y,25,FALSE)&lt;&gt;"",VLOOKUP($B98-RIGHT($B98,1),'Проток.рез.КСП'!A:Y,25,FALSE),ROUND($F98/$F$14*100,2))))</f>
        <v>324.92</v>
      </c>
      <c r="H98" s="513" t="str">
        <f>VLOOKUP($B98,'Іменні заявки'!$A:$J,8,FALSE)</f>
        <v>Дунаєвецький р-н</v>
      </c>
      <c r="I98" s="513" t="str">
        <f>VLOOKUP($B98,'Іменні заявки'!$A:$J,7,FALSE)</f>
        <v>Дунаєвецького р-ну</v>
      </c>
      <c r="J98" s="513">
        <f>VLOOKUP($B98,'Іменні заявки'!$A:$J,9,FALSE)</f>
      </c>
      <c r="K98" s="53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98" s="77" t="str">
        <f>VLOOKUP($B98,'Іменні заявки'!$A:$J,10,FALSE)</f>
        <v>Хитрюк І.В.</v>
      </c>
    </row>
    <row r="99" spans="1:12" ht="12.75" customHeight="1">
      <c r="A99" s="487"/>
      <c r="B99" s="56">
        <v>63</v>
      </c>
      <c r="C99" s="79" t="str">
        <f>VLOOKUP($B99,'Іменні заявки'!$A:$J,2,FALSE)</f>
        <v>Червоняк Володимир Михайлович</v>
      </c>
      <c r="D99" s="80">
        <f>VLOOKUP($B99,'Іменні заявки'!$A:$J,3,FALSE)</f>
        <v>30975</v>
      </c>
      <c r="E99" s="81" t="str">
        <f>VLOOKUP($B99,'Іменні заявки'!$A:$J,4,FALSE)</f>
        <v>б/р</v>
      </c>
      <c r="F99" s="508"/>
      <c r="G99" s="511"/>
      <c r="H99" s="514"/>
      <c r="I99" s="514"/>
      <c r="J99" s="514"/>
      <c r="K99" s="55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99" s="82" t="str">
        <f>VLOOKUP($B99,'Іменні заявки'!$A:$J,10,FALSE)</f>
        <v>Хитрюк І.В.</v>
      </c>
    </row>
    <row r="100" spans="1:12" ht="12.75" customHeight="1">
      <c r="A100" s="487"/>
      <c r="B100" s="56">
        <v>65</v>
      </c>
      <c r="C100" s="79" t="str">
        <f>VLOOKUP($B100,'Іменні заявки'!$A:$J,2,FALSE)</f>
        <v>Підлісний Григорій Володимирович</v>
      </c>
      <c r="D100" s="80">
        <f>VLOOKUP($B100,'Іменні заявки'!$A:$J,3,FALSE)</f>
        <v>32548</v>
      </c>
      <c r="E100" s="81" t="str">
        <f>VLOOKUP($B100,'Іменні заявки'!$A:$J,4,FALSE)</f>
        <v>б/р</v>
      </c>
      <c r="F100" s="508"/>
      <c r="G100" s="511"/>
      <c r="H100" s="514"/>
      <c r="I100" s="514"/>
      <c r="J100" s="514"/>
      <c r="K100" s="55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100" s="82" t="str">
        <f>VLOOKUP($B100,'Іменні заявки'!$A:$J,10,FALSE)</f>
        <v>Хитрюк І.В.</v>
      </c>
    </row>
    <row r="101" spans="1:12" ht="12.75" customHeight="1">
      <c r="A101" s="487"/>
      <c r="B101" s="56">
        <v>66</v>
      </c>
      <c r="C101" s="79" t="str">
        <f>VLOOKUP($B101,'Іменні заявки'!$A:$J,2,FALSE)</f>
        <v>Швець Олександр Олександрович</v>
      </c>
      <c r="D101" s="80">
        <f>VLOOKUP($B101,'Іменні заявки'!$A:$J,3,FALSE)</f>
        <v>31301</v>
      </c>
      <c r="E101" s="81" t="str">
        <f>VLOOKUP($B101,'Іменні заявки'!$A:$J,4,FALSE)</f>
        <v>б/р</v>
      </c>
      <c r="F101" s="508"/>
      <c r="G101" s="511"/>
      <c r="H101" s="514"/>
      <c r="I101" s="514"/>
      <c r="J101" s="514"/>
      <c r="K101" s="55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101" s="82" t="str">
        <f>VLOOKUP($B101,'Іменні заявки'!$A:$J,10,FALSE)</f>
        <v>Хитрюк І.В.</v>
      </c>
    </row>
    <row r="102" spans="1:12" ht="12.75" customHeight="1">
      <c r="A102" s="487"/>
      <c r="B102" s="56">
        <v>67</v>
      </c>
      <c r="C102" s="79" t="str">
        <f>VLOOKUP($B102,'Іменні заявки'!$A:$J,2,FALSE)</f>
        <v>Крупник Артур Юрійович</v>
      </c>
      <c r="D102" s="80">
        <f>VLOOKUP($B102,'Іменні заявки'!$A:$J,3,FALSE)</f>
        <v>31711</v>
      </c>
      <c r="E102" s="81" t="str">
        <f>VLOOKUP($B102,'Іменні заявки'!$A:$J,4,FALSE)</f>
        <v>б/р</v>
      </c>
      <c r="F102" s="508"/>
      <c r="G102" s="511"/>
      <c r="H102" s="514"/>
      <c r="I102" s="514"/>
      <c r="J102" s="514"/>
      <c r="K102" s="55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102" s="82" t="str">
        <f>VLOOKUP($B102,'Іменні заявки'!$A:$J,10,FALSE)</f>
        <v>Хитрюк І.В.</v>
      </c>
    </row>
    <row r="103" spans="1:12" ht="12.75" customHeight="1" thickBot="1">
      <c r="A103" s="506"/>
      <c r="B103" s="83">
        <v>68</v>
      </c>
      <c r="C103" s="84" t="str">
        <f>VLOOKUP($B103,'Іменні заявки'!$A:$J,2,FALSE)</f>
        <v>Лавренюк Ірина Анатоліївна</v>
      </c>
      <c r="D103" s="85">
        <f>VLOOKUP($B103,'Іменні заявки'!$A:$J,3,FALSE)</f>
        <v>32396</v>
      </c>
      <c r="E103" s="86" t="str">
        <f>VLOOKUP($B103,'Іменні заявки'!$A:$J,4,FALSE)</f>
        <v>б/р</v>
      </c>
      <c r="F103" s="509"/>
      <c r="G103" s="512"/>
      <c r="H103" s="515"/>
      <c r="I103" s="515"/>
      <c r="J103" s="515"/>
      <c r="K103" s="87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103" s="88" t="str">
        <f>VLOOKUP($B103,'Іменні заявки'!$A:$J,10,FALSE)</f>
        <v>Хитрюк І.В.</v>
      </c>
    </row>
    <row r="104" spans="1:12" ht="12.75" customHeight="1">
      <c r="A104" s="486">
        <v>16</v>
      </c>
      <c r="B104" s="54">
        <v>21</v>
      </c>
      <c r="C104" s="74" t="str">
        <f>VLOOKUP($B104,'Іменні заявки'!$A:$J,2,FALSE)</f>
        <v>Левицький Андрій Сергійович</v>
      </c>
      <c r="D104" s="75">
        <f>VLOOKUP($B104,'Іменні заявки'!$A:$J,3,FALSE)</f>
        <v>34075</v>
      </c>
      <c r="E104" s="76" t="str">
        <f>VLOOKUP($B104,'Іменні заявки'!$A:$J,4,FALSE)</f>
        <v>б/р</v>
      </c>
      <c r="F104" s="507">
        <f>VLOOKUP($B104-RIGHT($B104,1),'Прот.рез.Кр.-пох.'!$A:$AA,25,FALSE)</f>
        <v>0.4174305555555555</v>
      </c>
      <c r="G104" s="510">
        <f>IF(ISERROR($F104),"—",IF(OR(ISTEXT($F104),$F104=""),"—",IF(VLOOKUP($B104-RIGHT($B104,1),'Проток.рез.КСП'!A:Y,25,FALSE)&lt;&gt;"",VLOOKUP($B104-RIGHT($B104,1),'Проток.рез.КСП'!A:Y,25,FALSE),ROUND($F104/$F$14*100,2))))</f>
        <v>486.33</v>
      </c>
      <c r="H104" s="513" t="str">
        <f>VLOOKUP($B104,'Іменні заявки'!$A:$J,8,FALSE)</f>
        <v>Віньковецький р-н</v>
      </c>
      <c r="I104" s="513" t="str">
        <f>VLOOKUP($B104,'Іменні заявки'!$A:$J,7,FALSE)</f>
        <v>Віньковецького р-ну</v>
      </c>
      <c r="J104" s="513">
        <f>VLOOKUP($B104,'Іменні заявки'!$A:$J,9,FALSE)</f>
      </c>
      <c r="K104" s="53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4" s="77" t="str">
        <f>VLOOKUP($B104,'Іменні заявки'!$A:$J,10,FALSE)</f>
        <v>Гаєвський Б.О.</v>
      </c>
    </row>
    <row r="105" spans="1:12" ht="12.75" customHeight="1">
      <c r="A105" s="487"/>
      <c r="B105" s="56">
        <v>23</v>
      </c>
      <c r="C105" s="79" t="str">
        <f>VLOOKUP($B105,'Іменні заявки'!$A:$J,2,FALSE)</f>
        <v>Гонголь Оксана Василівна</v>
      </c>
      <c r="D105" s="80">
        <f>VLOOKUP($B105,'Іменні заявки'!$A:$J,3,FALSE)</f>
        <v>30901</v>
      </c>
      <c r="E105" s="81" t="str">
        <f>VLOOKUP($B105,'Іменні заявки'!$A:$J,4,FALSE)</f>
        <v>б/р</v>
      </c>
      <c r="F105" s="508"/>
      <c r="G105" s="511"/>
      <c r="H105" s="514"/>
      <c r="I105" s="514"/>
      <c r="J105" s="514"/>
      <c r="K105" s="55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5" s="82" t="str">
        <f>VLOOKUP($B105,'Іменні заявки'!$A:$J,10,FALSE)</f>
        <v>Гаєвський Б.О.</v>
      </c>
    </row>
    <row r="106" spans="1:12" ht="12.75" customHeight="1">
      <c r="A106" s="487"/>
      <c r="B106" s="56">
        <v>24</v>
      </c>
      <c r="C106" s="79" t="str">
        <f>VLOOKUP($B106,'Іменні заявки'!$A:$J,2,FALSE)</f>
        <v>Козар Тетяна Василівна</v>
      </c>
      <c r="D106" s="80">
        <f>VLOOKUP($B106,'Іменні заявки'!$A:$J,3,FALSE)</f>
        <v>32480</v>
      </c>
      <c r="E106" s="81" t="str">
        <f>VLOOKUP($B106,'Іменні заявки'!$A:$J,4,FALSE)</f>
        <v>б/р</v>
      </c>
      <c r="F106" s="508"/>
      <c r="G106" s="511"/>
      <c r="H106" s="514"/>
      <c r="I106" s="514"/>
      <c r="J106" s="514"/>
      <c r="K106" s="55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6" s="82" t="str">
        <f>VLOOKUP($B106,'Іменні заявки'!$A:$J,10,FALSE)</f>
        <v>Гаєвський Б.О.</v>
      </c>
    </row>
    <row r="107" spans="1:12" ht="12.75" customHeight="1">
      <c r="A107" s="487"/>
      <c r="B107" s="56">
        <v>25</v>
      </c>
      <c r="C107" s="79" t="str">
        <f>VLOOKUP($B107,'Іменні заявки'!$A:$J,2,FALSE)</f>
        <v>Ноняк Ігор Михайлович</v>
      </c>
      <c r="D107" s="80">
        <f>VLOOKUP($B107,'Іменні заявки'!$A:$J,3,FALSE)</f>
        <v>34138</v>
      </c>
      <c r="E107" s="81" t="str">
        <f>VLOOKUP($B107,'Іменні заявки'!$A:$J,4,FALSE)</f>
        <v>б/р</v>
      </c>
      <c r="F107" s="508"/>
      <c r="G107" s="511"/>
      <c r="H107" s="514"/>
      <c r="I107" s="514"/>
      <c r="J107" s="514"/>
      <c r="K107" s="55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7" s="82" t="str">
        <f>VLOOKUP($B107,'Іменні заявки'!$A:$J,10,FALSE)</f>
        <v>Гаєвський Б.О.</v>
      </c>
    </row>
    <row r="108" spans="1:12" ht="12.75" customHeight="1">
      <c r="A108" s="487"/>
      <c r="B108" s="56">
        <v>26</v>
      </c>
      <c r="C108" s="79" t="str">
        <f>VLOOKUP($B108,'Іменні заявки'!$A:$J,2,FALSE)</f>
        <v>Кукурудза Ігор Володимирович</v>
      </c>
      <c r="D108" s="80">
        <f>VLOOKUP($B108,'Іменні заявки'!$A:$J,3,FALSE)</f>
        <v>34235</v>
      </c>
      <c r="E108" s="81" t="str">
        <f>VLOOKUP($B108,'Іменні заявки'!$A:$J,4,FALSE)</f>
        <v>б/р</v>
      </c>
      <c r="F108" s="508"/>
      <c r="G108" s="511"/>
      <c r="H108" s="514"/>
      <c r="I108" s="514"/>
      <c r="J108" s="514"/>
      <c r="K108" s="55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8" s="82" t="str">
        <f>VLOOKUP($B108,'Іменні заявки'!$A:$J,10,FALSE)</f>
        <v>Гаєвський Б.О.</v>
      </c>
    </row>
    <row r="109" spans="1:12" ht="12.75" customHeight="1" thickBot="1">
      <c r="A109" s="506"/>
      <c r="B109" s="83">
        <v>27</v>
      </c>
      <c r="C109" s="84" t="str">
        <f>VLOOKUP($B109,'Іменні заявки'!$A:$J,2,FALSE)</f>
        <v>Кукурудза Вікторія Олегівна</v>
      </c>
      <c r="D109" s="85">
        <f>VLOOKUP($B109,'Іменні заявки'!$A:$J,3,FALSE)</f>
        <v>34226</v>
      </c>
      <c r="E109" s="86" t="str">
        <f>VLOOKUP($B109,'Іменні заявки'!$A:$J,4,FALSE)</f>
        <v>б/р</v>
      </c>
      <c r="F109" s="509"/>
      <c r="G109" s="512"/>
      <c r="H109" s="515"/>
      <c r="I109" s="515"/>
      <c r="J109" s="515"/>
      <c r="K109" s="87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9" s="88" t="str">
        <f>VLOOKUP($B109,'Іменні заявки'!$A:$J,10,FALSE)</f>
        <v>Гаєвський Б.О.</v>
      </c>
    </row>
    <row r="110" spans="1:12" ht="12.75" customHeight="1">
      <c r="A110" s="486">
        <v>17</v>
      </c>
      <c r="B110" s="54">
        <v>11</v>
      </c>
      <c r="C110" s="74" t="str">
        <f>VLOOKUP($B110,'Іменні заявки'!$A:$J,2,FALSE)</f>
        <v>Матвієць Олександр Анатолійович</v>
      </c>
      <c r="D110" s="75">
        <f>VLOOKUP($B110,'Іменні заявки'!$A:$J,3,FALSE)</f>
        <v>32554</v>
      </c>
      <c r="E110" s="76" t="str">
        <f>VLOOKUP($B110,'Іменні заявки'!$A:$J,4,FALSE)</f>
        <v>б/р</v>
      </c>
      <c r="F110" s="507">
        <f>VLOOKUP($B110-RIGHT($B110,1),'Прот.рез.Кр.-пох.'!$A:$AA,25,FALSE)</f>
        <v>0.4715972222222222</v>
      </c>
      <c r="G110" s="510">
        <f>IF(ISERROR($F110),"—",IF(OR(ISTEXT($F110),$F110=""),"—",IF(VLOOKUP($B110-RIGHT($B110,1),'Проток.рез.КСП'!A:Y,25,FALSE)&lt;&gt;"",VLOOKUP($B110-RIGHT($B110,1),'Проток.рез.КСП'!A:Y,25,FALSE),ROUND($F110/$F$14*100,2))))</f>
        <v>549.43</v>
      </c>
      <c r="H110" s="513" t="str">
        <f>VLOOKUP($B110,'Іменні заявки'!$A:$J,8,FALSE)</f>
        <v>Білогірський р-н</v>
      </c>
      <c r="I110" s="513" t="str">
        <f>VLOOKUP($B110,'Іменні заявки'!$A:$J,7,FALSE)</f>
        <v>Білогірського р-ну</v>
      </c>
      <c r="J110" s="513">
        <f>VLOOKUP($B110,'Іменні заявки'!$A:$J,9,FALSE)</f>
      </c>
      <c r="K110" s="53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0" s="77" t="str">
        <f>VLOOKUP($B110,'Іменні заявки'!$A:$J,10,FALSE)</f>
        <v>Матвієць О.А.</v>
      </c>
    </row>
    <row r="111" spans="1:12" ht="12.75" customHeight="1">
      <c r="A111" s="487"/>
      <c r="B111" s="56">
        <v>12</v>
      </c>
      <c r="C111" s="79" t="str">
        <f>VLOOKUP($B111,'Іменні заявки'!$A:$J,2,FALSE)</f>
        <v>Мисюк Володимир Іванович</v>
      </c>
      <c r="D111" s="80">
        <f>VLOOKUP($B111,'Іменні заявки'!$A:$J,3,FALSE)</f>
        <v>33083</v>
      </c>
      <c r="E111" s="81" t="str">
        <f>VLOOKUP($B111,'Іменні заявки'!$A:$J,4,FALSE)</f>
        <v>б/р</v>
      </c>
      <c r="F111" s="508"/>
      <c r="G111" s="511"/>
      <c r="H111" s="514"/>
      <c r="I111" s="514"/>
      <c r="J111" s="514"/>
      <c r="K111" s="55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1" s="82" t="str">
        <f>VLOOKUP($B111,'Іменні заявки'!$A:$J,10,FALSE)</f>
        <v>Матвієць О.А.</v>
      </c>
    </row>
    <row r="112" spans="1:12" ht="12.75" customHeight="1">
      <c r="A112" s="487"/>
      <c r="B112" s="56">
        <v>13</v>
      </c>
      <c r="C112" s="79" t="str">
        <f>VLOOKUP($B112,'Іменні заявки'!$A:$J,2,FALSE)</f>
        <v>Слободян Іван Володимирович</v>
      </c>
      <c r="D112" s="80">
        <f>VLOOKUP($B112,'Іменні заявки'!$A:$J,3,FALSE)</f>
        <v>33622</v>
      </c>
      <c r="E112" s="81" t="str">
        <f>VLOOKUP($B112,'Іменні заявки'!$A:$J,4,FALSE)</f>
        <v>б/р</v>
      </c>
      <c r="F112" s="508"/>
      <c r="G112" s="511"/>
      <c r="H112" s="514"/>
      <c r="I112" s="514"/>
      <c r="J112" s="514"/>
      <c r="K112" s="55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2" s="82" t="str">
        <f>VLOOKUP($B112,'Іменні заявки'!$A:$J,10,FALSE)</f>
        <v>Матвієць О.А.</v>
      </c>
    </row>
    <row r="113" spans="1:12" ht="12.75" customHeight="1">
      <c r="A113" s="487"/>
      <c r="B113" s="56">
        <v>14</v>
      </c>
      <c r="C113" s="79" t="str">
        <f>VLOOKUP($B113,'Іменні заявки'!$A:$J,2,FALSE)</f>
        <v>Пурик Юлія Олександрівна</v>
      </c>
      <c r="D113" s="80">
        <f>VLOOKUP($B113,'Іменні заявки'!$A:$J,3,FALSE)</f>
        <v>34460</v>
      </c>
      <c r="E113" s="81" t="str">
        <f>VLOOKUP($B113,'Іменні заявки'!$A:$J,4,FALSE)</f>
        <v>б/р</v>
      </c>
      <c r="F113" s="508"/>
      <c r="G113" s="511"/>
      <c r="H113" s="514"/>
      <c r="I113" s="514"/>
      <c r="J113" s="514"/>
      <c r="K113" s="55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3" s="82" t="str">
        <f>VLOOKUP($B113,'Іменні заявки'!$A:$J,10,FALSE)</f>
        <v>Матвієць О.А.</v>
      </c>
    </row>
    <row r="114" spans="1:12" ht="12.75" customHeight="1">
      <c r="A114" s="487"/>
      <c r="B114" s="56">
        <v>15</v>
      </c>
      <c r="C114" s="79" t="str">
        <f>VLOOKUP($B114,'Іменні заявки'!$A:$J,2,FALSE)</f>
        <v>Попенко Володимир Федорович</v>
      </c>
      <c r="D114" s="80">
        <f>VLOOKUP($B114,'Іменні заявки'!$A:$J,3,FALSE)</f>
        <v>31609</v>
      </c>
      <c r="E114" s="81" t="str">
        <f>VLOOKUP($B114,'Іменні заявки'!$A:$J,4,FALSE)</f>
        <v>б/р</v>
      </c>
      <c r="F114" s="508"/>
      <c r="G114" s="511"/>
      <c r="H114" s="514"/>
      <c r="I114" s="514"/>
      <c r="J114" s="514"/>
      <c r="K114" s="55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4" s="82" t="str">
        <f>VLOOKUP($B114,'Іменні заявки'!$A:$J,10,FALSE)</f>
        <v>Матвієць О.А.</v>
      </c>
    </row>
    <row r="115" spans="1:12" ht="12.75" customHeight="1" thickBot="1">
      <c r="A115" s="506"/>
      <c r="B115" s="83">
        <v>17</v>
      </c>
      <c r="C115" s="84" t="str">
        <f>VLOOKUP($B115,'Іменні заявки'!$A:$J,2,FALSE)</f>
        <v>Бійчук Олександр Михайлович</v>
      </c>
      <c r="D115" s="85">
        <f>VLOOKUP($B115,'Іменні заявки'!$A:$J,3,FALSE)</f>
        <v>33303</v>
      </c>
      <c r="E115" s="86" t="str">
        <f>VLOOKUP($B115,'Іменні заявки'!$A:$J,4,FALSE)</f>
        <v>б/р</v>
      </c>
      <c r="F115" s="509"/>
      <c r="G115" s="512"/>
      <c r="H115" s="515"/>
      <c r="I115" s="515"/>
      <c r="J115" s="515"/>
      <c r="K115" s="87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5" s="88" t="str">
        <f>VLOOKUP($B115,'Іменні заявки'!$A:$J,10,FALSE)</f>
        <v>Матвієць О.А.</v>
      </c>
    </row>
    <row r="116" spans="1:12" ht="12.75" customHeight="1" hidden="1">
      <c r="A116" s="486">
        <v>18</v>
      </c>
      <c r="B116" s="54"/>
      <c r="C116" s="74" t="e">
        <f>VLOOKUP($B116,'Іменні заявки'!$A:$J,2,FALSE)</f>
        <v>#N/A</v>
      </c>
      <c r="D116" s="75" t="e">
        <f>VLOOKUP($B116,'Іменні заявки'!$A:$J,3,FALSE)</f>
        <v>#N/A</v>
      </c>
      <c r="E116" s="76" t="e">
        <f>VLOOKUP($B116,'Іменні заявки'!$A:$J,4,FALSE)</f>
        <v>#N/A</v>
      </c>
      <c r="F116" s="507" t="e">
        <f>VLOOKUP($B116-RIGHT($B116,1),'Прот.рез.Кр.-пох.'!$A:$AA,25,FALSE)</f>
        <v>#VALUE!</v>
      </c>
      <c r="G116" s="510" t="str">
        <f>IF(ISERROR($F116),"—",IF(OR(ISTEXT($F116),$F116=""),"—",IF(VLOOKUP($B116-RIGHT($B116,1),'Проток.рез.КСП'!A:Y,25,FALSE)&lt;&gt;"",VLOOKUP($B116-RIGHT($B116,1),'Проток.рез.КСП'!A:Y,25,FALSE),ROUND($F116/$F$14*100,2))))</f>
        <v>—</v>
      </c>
      <c r="H116" s="513" t="e">
        <f>VLOOKUP($B116,'Іменні заявки'!$A:$J,8,FALSE)</f>
        <v>#N/A</v>
      </c>
      <c r="I116" s="513" t="e">
        <f>VLOOKUP($B116,'Іменні заявки'!$A:$J,7,FALSE)</f>
        <v>#N/A</v>
      </c>
      <c r="J116" s="513" t="e">
        <f>VLOOKUP($B116,'Іменні заявки'!$A:$J,9,FALSE)</f>
        <v>#N/A</v>
      </c>
      <c r="K116" s="53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16" s="77" t="e">
        <f>VLOOKUP($B116,'Іменні заявки'!$A:$J,10,FALSE)</f>
        <v>#N/A</v>
      </c>
    </row>
    <row r="117" spans="1:12" ht="12.75" customHeight="1" hidden="1">
      <c r="A117" s="487"/>
      <c r="B117" s="56"/>
      <c r="C117" s="79" t="e">
        <f>VLOOKUP($B117,'Іменні заявки'!$A:$J,2,FALSE)</f>
        <v>#N/A</v>
      </c>
      <c r="D117" s="80" t="e">
        <f>VLOOKUP($B117,'Іменні заявки'!$A:$J,3,FALSE)</f>
        <v>#N/A</v>
      </c>
      <c r="E117" s="81" t="e">
        <f>VLOOKUP($B117,'Іменні заявки'!$A:$J,4,FALSE)</f>
        <v>#N/A</v>
      </c>
      <c r="F117" s="508"/>
      <c r="G117" s="511"/>
      <c r="H117" s="514"/>
      <c r="I117" s="514"/>
      <c r="J117" s="514"/>
      <c r="K117" s="55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17" s="82" t="e">
        <f>VLOOKUP($B117,'Іменні заявки'!$A:$J,10,FALSE)</f>
        <v>#N/A</v>
      </c>
    </row>
    <row r="118" spans="1:12" ht="12.75" customHeight="1" hidden="1">
      <c r="A118" s="487"/>
      <c r="B118" s="56"/>
      <c r="C118" s="79" t="e">
        <f>VLOOKUP($B118,'Іменні заявки'!$A:$J,2,FALSE)</f>
        <v>#N/A</v>
      </c>
      <c r="D118" s="80" t="e">
        <f>VLOOKUP($B118,'Іменні заявки'!$A:$J,3,FALSE)</f>
        <v>#N/A</v>
      </c>
      <c r="E118" s="81" t="e">
        <f>VLOOKUP($B118,'Іменні заявки'!$A:$J,4,FALSE)</f>
        <v>#N/A</v>
      </c>
      <c r="F118" s="508"/>
      <c r="G118" s="511"/>
      <c r="H118" s="514"/>
      <c r="I118" s="514"/>
      <c r="J118" s="514"/>
      <c r="K118" s="55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18" s="82" t="e">
        <f>VLOOKUP($B118,'Іменні заявки'!$A:$J,10,FALSE)</f>
        <v>#N/A</v>
      </c>
    </row>
    <row r="119" spans="1:12" ht="12.75" customHeight="1" hidden="1">
      <c r="A119" s="487"/>
      <c r="B119" s="56"/>
      <c r="C119" s="79" t="e">
        <f>VLOOKUP($B119,'Іменні заявки'!$A:$J,2,FALSE)</f>
        <v>#N/A</v>
      </c>
      <c r="D119" s="80" t="e">
        <f>VLOOKUP($B119,'Іменні заявки'!$A:$J,3,FALSE)</f>
        <v>#N/A</v>
      </c>
      <c r="E119" s="81" t="e">
        <f>VLOOKUP($B119,'Іменні заявки'!$A:$J,4,FALSE)</f>
        <v>#N/A</v>
      </c>
      <c r="F119" s="508"/>
      <c r="G119" s="511"/>
      <c r="H119" s="514"/>
      <c r="I119" s="514"/>
      <c r="J119" s="514"/>
      <c r="K119" s="55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19" s="82" t="e">
        <f>VLOOKUP($B119,'Іменні заявки'!$A:$J,10,FALSE)</f>
        <v>#N/A</v>
      </c>
    </row>
    <row r="120" spans="1:12" ht="12.75" customHeight="1" hidden="1">
      <c r="A120" s="487"/>
      <c r="B120" s="56"/>
      <c r="C120" s="79" t="e">
        <f>VLOOKUP($B120,'Іменні заявки'!$A:$J,2,FALSE)</f>
        <v>#N/A</v>
      </c>
      <c r="D120" s="80" t="e">
        <f>VLOOKUP($B120,'Іменні заявки'!$A:$J,3,FALSE)</f>
        <v>#N/A</v>
      </c>
      <c r="E120" s="81" t="e">
        <f>VLOOKUP($B120,'Іменні заявки'!$A:$J,4,FALSE)</f>
        <v>#N/A</v>
      </c>
      <c r="F120" s="508"/>
      <c r="G120" s="511"/>
      <c r="H120" s="514"/>
      <c r="I120" s="514"/>
      <c r="J120" s="514"/>
      <c r="K120" s="55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20" s="82" t="e">
        <f>VLOOKUP($B120,'Іменні заявки'!$A:$J,10,FALSE)</f>
        <v>#N/A</v>
      </c>
    </row>
    <row r="121" spans="1:12" ht="12.75" customHeight="1" hidden="1" thickBot="1">
      <c r="A121" s="506"/>
      <c r="B121" s="83"/>
      <c r="C121" s="84" t="e">
        <f>VLOOKUP($B121,'Іменні заявки'!$A:$J,2,FALSE)</f>
        <v>#N/A</v>
      </c>
      <c r="D121" s="85" t="e">
        <f>VLOOKUP($B121,'Іменні заявки'!$A:$J,3,FALSE)</f>
        <v>#N/A</v>
      </c>
      <c r="E121" s="86" t="e">
        <f>VLOOKUP($B121,'Іменні заявки'!$A:$J,4,FALSE)</f>
        <v>#N/A</v>
      </c>
      <c r="F121" s="509"/>
      <c r="G121" s="512"/>
      <c r="H121" s="515"/>
      <c r="I121" s="515"/>
      <c r="J121" s="515"/>
      <c r="K121" s="87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21" s="88" t="e">
        <f>VLOOKUP($B121,'Іменні заявки'!$A:$J,10,FALSE)</f>
        <v>#N/A</v>
      </c>
    </row>
    <row r="122" spans="1:12" ht="12.75" customHeight="1" hidden="1">
      <c r="A122" s="486">
        <v>19</v>
      </c>
      <c r="B122" s="54"/>
      <c r="C122" s="74" t="e">
        <f>VLOOKUP($B122,'Іменні заявки'!$A:$J,2,FALSE)</f>
        <v>#N/A</v>
      </c>
      <c r="D122" s="75" t="e">
        <f>VLOOKUP($B122,'Іменні заявки'!$A:$J,3,FALSE)</f>
        <v>#N/A</v>
      </c>
      <c r="E122" s="76" t="e">
        <f>VLOOKUP($B122,'Іменні заявки'!$A:$J,4,FALSE)</f>
        <v>#N/A</v>
      </c>
      <c r="F122" s="507" t="e">
        <f>VLOOKUP($B122-RIGHT($B122,1),'Прот.рез.Кр.-пох.'!$A:$AA,25,FALSE)</f>
        <v>#VALUE!</v>
      </c>
      <c r="G122" s="510" t="str">
        <f>IF(ISERROR($F122),"—",IF(OR(ISTEXT($F122),$F122=""),"—",IF(VLOOKUP($B122-RIGHT($B122,1),'Проток.рез.КСП'!A:Y,25,FALSE)&lt;&gt;"",VLOOKUP($B122-RIGHT($B122,1),'Проток.рез.КСП'!A:Y,25,FALSE),ROUND($F122/$F$14*100,2))))</f>
        <v>—</v>
      </c>
      <c r="H122" s="513" t="e">
        <f>VLOOKUP($B122,'Іменні заявки'!$A:$J,8,FALSE)</f>
        <v>#N/A</v>
      </c>
      <c r="I122" s="513" t="e">
        <f>VLOOKUP($B122,'Іменні заявки'!$A:$J,7,FALSE)</f>
        <v>#N/A</v>
      </c>
      <c r="J122" s="513" t="e">
        <f>VLOOKUP($B122,'Іменні заявки'!$A:$J,9,FALSE)</f>
        <v>#N/A</v>
      </c>
      <c r="K122" s="53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2" s="77" t="e">
        <f>VLOOKUP($B122,'Іменні заявки'!$A:$J,10,FALSE)</f>
        <v>#N/A</v>
      </c>
    </row>
    <row r="123" spans="1:12" ht="12.75" customHeight="1" hidden="1">
      <c r="A123" s="487"/>
      <c r="B123" s="56"/>
      <c r="C123" s="79" t="e">
        <f>VLOOKUP($B123,'Іменні заявки'!$A:$J,2,FALSE)</f>
        <v>#N/A</v>
      </c>
      <c r="D123" s="80" t="e">
        <f>VLOOKUP($B123,'Іменні заявки'!$A:$J,3,FALSE)</f>
        <v>#N/A</v>
      </c>
      <c r="E123" s="81" t="e">
        <f>VLOOKUP($B123,'Іменні заявки'!$A:$J,4,FALSE)</f>
        <v>#N/A</v>
      </c>
      <c r="F123" s="508"/>
      <c r="G123" s="511"/>
      <c r="H123" s="514"/>
      <c r="I123" s="514"/>
      <c r="J123" s="514"/>
      <c r="K123" s="55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3" s="82" t="e">
        <f>VLOOKUP($B123,'Іменні заявки'!$A:$J,10,FALSE)</f>
        <v>#N/A</v>
      </c>
    </row>
    <row r="124" spans="1:12" ht="12.75" customHeight="1" hidden="1">
      <c r="A124" s="487"/>
      <c r="B124" s="56"/>
      <c r="C124" s="79" t="e">
        <f>VLOOKUP($B124,'Іменні заявки'!$A:$J,2,FALSE)</f>
        <v>#N/A</v>
      </c>
      <c r="D124" s="80" t="e">
        <f>VLOOKUP($B124,'Іменні заявки'!$A:$J,3,FALSE)</f>
        <v>#N/A</v>
      </c>
      <c r="E124" s="81" t="e">
        <f>VLOOKUP($B124,'Іменні заявки'!$A:$J,4,FALSE)</f>
        <v>#N/A</v>
      </c>
      <c r="F124" s="508"/>
      <c r="G124" s="511"/>
      <c r="H124" s="514"/>
      <c r="I124" s="514"/>
      <c r="J124" s="514"/>
      <c r="K124" s="55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4" s="82" t="e">
        <f>VLOOKUP($B124,'Іменні заявки'!$A:$J,10,FALSE)</f>
        <v>#N/A</v>
      </c>
    </row>
    <row r="125" spans="1:12" ht="12.75" customHeight="1" hidden="1">
      <c r="A125" s="487"/>
      <c r="B125" s="56"/>
      <c r="C125" s="79" t="e">
        <f>VLOOKUP($B125,'Іменні заявки'!$A:$J,2,FALSE)</f>
        <v>#N/A</v>
      </c>
      <c r="D125" s="80" t="e">
        <f>VLOOKUP($B125,'Іменні заявки'!$A:$J,3,FALSE)</f>
        <v>#N/A</v>
      </c>
      <c r="E125" s="81" t="e">
        <f>VLOOKUP($B125,'Іменні заявки'!$A:$J,4,FALSE)</f>
        <v>#N/A</v>
      </c>
      <c r="F125" s="508"/>
      <c r="G125" s="511"/>
      <c r="H125" s="514"/>
      <c r="I125" s="514"/>
      <c r="J125" s="514"/>
      <c r="K125" s="55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5" s="82" t="e">
        <f>VLOOKUP($B125,'Іменні заявки'!$A:$J,10,FALSE)</f>
        <v>#N/A</v>
      </c>
    </row>
    <row r="126" spans="1:12" ht="12.75" customHeight="1" hidden="1">
      <c r="A126" s="487"/>
      <c r="B126" s="56"/>
      <c r="C126" s="79" t="e">
        <f>VLOOKUP($B126,'Іменні заявки'!$A:$J,2,FALSE)</f>
        <v>#N/A</v>
      </c>
      <c r="D126" s="80" t="e">
        <f>VLOOKUP($B126,'Іменні заявки'!$A:$J,3,FALSE)</f>
        <v>#N/A</v>
      </c>
      <c r="E126" s="81" t="e">
        <f>VLOOKUP($B126,'Іменні заявки'!$A:$J,4,FALSE)</f>
        <v>#N/A</v>
      </c>
      <c r="F126" s="508"/>
      <c r="G126" s="511"/>
      <c r="H126" s="514"/>
      <c r="I126" s="514"/>
      <c r="J126" s="514"/>
      <c r="K126" s="55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6" s="82" t="e">
        <f>VLOOKUP($B126,'Іменні заявки'!$A:$J,10,FALSE)</f>
        <v>#N/A</v>
      </c>
    </row>
    <row r="127" spans="1:12" ht="12.75" customHeight="1" hidden="1" thickBot="1">
      <c r="A127" s="506"/>
      <c r="B127" s="83"/>
      <c r="C127" s="84" t="e">
        <f>VLOOKUP($B127,'Іменні заявки'!$A:$J,2,FALSE)</f>
        <v>#N/A</v>
      </c>
      <c r="D127" s="85" t="e">
        <f>VLOOKUP($B127,'Іменні заявки'!$A:$J,3,FALSE)</f>
        <v>#N/A</v>
      </c>
      <c r="E127" s="86" t="e">
        <f>VLOOKUP($B127,'Іменні заявки'!$A:$J,4,FALSE)</f>
        <v>#N/A</v>
      </c>
      <c r="F127" s="509"/>
      <c r="G127" s="512"/>
      <c r="H127" s="515"/>
      <c r="I127" s="515"/>
      <c r="J127" s="515"/>
      <c r="K127" s="87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7" s="88" t="e">
        <f>VLOOKUP($B127,'Іменні заявки'!$A:$J,10,FALSE)</f>
        <v>#N/A</v>
      </c>
    </row>
    <row r="128" spans="1:12" ht="12.75" customHeight="1" hidden="1">
      <c r="A128" s="486">
        <v>20</v>
      </c>
      <c r="B128" s="54"/>
      <c r="C128" s="74" t="e">
        <f>VLOOKUP($B128,'Іменні заявки'!$A:$J,2,FALSE)</f>
        <v>#N/A</v>
      </c>
      <c r="D128" s="75" t="e">
        <f>VLOOKUP($B128,'Іменні заявки'!$A:$J,3,FALSE)</f>
        <v>#N/A</v>
      </c>
      <c r="E128" s="76" t="e">
        <f>VLOOKUP($B128,'Іменні заявки'!$A:$J,4,FALSE)</f>
        <v>#N/A</v>
      </c>
      <c r="F128" s="507" t="e">
        <f>VLOOKUP($B128-RIGHT($B128,1),'Прот.рез.Кр.-пох.'!$A:$AA,25,FALSE)</f>
        <v>#VALUE!</v>
      </c>
      <c r="G128" s="510" t="str">
        <f>IF(ISERROR($F128),"—",IF(OR(ISTEXT($F128),$F128=""),"—",IF(VLOOKUP($B128-RIGHT($B128,1),'Проток.рез.КСП'!A:Y,25,FALSE)&lt;&gt;"",VLOOKUP($B128-RIGHT($B128,1),'Проток.рез.КСП'!A:Y,25,FALSE),ROUND($F128/$F$14*100,2))))</f>
        <v>—</v>
      </c>
      <c r="H128" s="513" t="e">
        <f>VLOOKUP($B128,'Іменні заявки'!$A:$J,8,FALSE)</f>
        <v>#N/A</v>
      </c>
      <c r="I128" s="513" t="e">
        <f>VLOOKUP($B128,'Іменні заявки'!$A:$J,7,FALSE)</f>
        <v>#N/A</v>
      </c>
      <c r="J128" s="513" t="e">
        <f>VLOOKUP($B128,'Іменні заявки'!$A:$J,9,FALSE)</f>
        <v>#N/A</v>
      </c>
      <c r="K128" s="53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28" s="77" t="e">
        <f>VLOOKUP($B128,'Іменні заявки'!$A:$J,10,FALSE)</f>
        <v>#N/A</v>
      </c>
    </row>
    <row r="129" spans="1:12" ht="12.75" customHeight="1" hidden="1">
      <c r="A129" s="487"/>
      <c r="B129" s="56"/>
      <c r="C129" s="79" t="e">
        <f>VLOOKUP($B129,'Іменні заявки'!$A:$J,2,FALSE)</f>
        <v>#N/A</v>
      </c>
      <c r="D129" s="80" t="e">
        <f>VLOOKUP($B129,'Іменні заявки'!$A:$J,3,FALSE)</f>
        <v>#N/A</v>
      </c>
      <c r="E129" s="81" t="e">
        <f>VLOOKUP($B129,'Іменні заявки'!$A:$J,4,FALSE)</f>
        <v>#N/A</v>
      </c>
      <c r="F129" s="508"/>
      <c r="G129" s="511"/>
      <c r="H129" s="514"/>
      <c r="I129" s="514"/>
      <c r="J129" s="514"/>
      <c r="K129" s="55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29" s="82" t="e">
        <f>VLOOKUP($B129,'Іменні заявки'!$A:$J,10,FALSE)</f>
        <v>#N/A</v>
      </c>
    </row>
    <row r="130" spans="1:12" ht="12.75" customHeight="1" hidden="1">
      <c r="A130" s="487"/>
      <c r="B130" s="56"/>
      <c r="C130" s="79" t="e">
        <f>VLOOKUP($B130,'Іменні заявки'!$A:$J,2,FALSE)</f>
        <v>#N/A</v>
      </c>
      <c r="D130" s="80" t="e">
        <f>VLOOKUP($B130,'Іменні заявки'!$A:$J,3,FALSE)</f>
        <v>#N/A</v>
      </c>
      <c r="E130" s="81" t="e">
        <f>VLOOKUP($B130,'Іменні заявки'!$A:$J,4,FALSE)</f>
        <v>#N/A</v>
      </c>
      <c r="F130" s="508"/>
      <c r="G130" s="511"/>
      <c r="H130" s="514"/>
      <c r="I130" s="514"/>
      <c r="J130" s="514"/>
      <c r="K130" s="55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30" s="82" t="e">
        <f>VLOOKUP($B130,'Іменні заявки'!$A:$J,10,FALSE)</f>
        <v>#N/A</v>
      </c>
    </row>
    <row r="131" spans="1:12" ht="12.75" customHeight="1" hidden="1">
      <c r="A131" s="487"/>
      <c r="B131" s="56"/>
      <c r="C131" s="79" t="e">
        <f>VLOOKUP($B131,'Іменні заявки'!$A:$J,2,FALSE)</f>
        <v>#N/A</v>
      </c>
      <c r="D131" s="80" t="e">
        <f>VLOOKUP($B131,'Іменні заявки'!$A:$J,3,FALSE)</f>
        <v>#N/A</v>
      </c>
      <c r="E131" s="81" t="e">
        <f>VLOOKUP($B131,'Іменні заявки'!$A:$J,4,FALSE)</f>
        <v>#N/A</v>
      </c>
      <c r="F131" s="508"/>
      <c r="G131" s="511"/>
      <c r="H131" s="514"/>
      <c r="I131" s="514"/>
      <c r="J131" s="514"/>
      <c r="K131" s="55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31" s="82" t="e">
        <f>VLOOKUP($B131,'Іменні заявки'!$A:$J,10,FALSE)</f>
        <v>#N/A</v>
      </c>
    </row>
    <row r="132" spans="1:12" ht="12.75" customHeight="1" hidden="1">
      <c r="A132" s="487"/>
      <c r="B132" s="56"/>
      <c r="C132" s="79" t="e">
        <f>VLOOKUP($B132,'Іменні заявки'!$A:$J,2,FALSE)</f>
        <v>#N/A</v>
      </c>
      <c r="D132" s="80" t="e">
        <f>VLOOKUP($B132,'Іменні заявки'!$A:$J,3,FALSE)</f>
        <v>#N/A</v>
      </c>
      <c r="E132" s="81" t="e">
        <f>VLOOKUP($B132,'Іменні заявки'!$A:$J,4,FALSE)</f>
        <v>#N/A</v>
      </c>
      <c r="F132" s="508"/>
      <c r="G132" s="511"/>
      <c r="H132" s="514"/>
      <c r="I132" s="514"/>
      <c r="J132" s="514"/>
      <c r="K132" s="55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32" s="82" t="e">
        <f>VLOOKUP($B132,'Іменні заявки'!$A:$J,10,FALSE)</f>
        <v>#N/A</v>
      </c>
    </row>
    <row r="133" spans="1:12" ht="12.75" customHeight="1" hidden="1" thickBot="1">
      <c r="A133" s="506"/>
      <c r="B133" s="83"/>
      <c r="C133" s="84" t="e">
        <f>VLOOKUP($B133,'Іменні заявки'!$A:$J,2,FALSE)</f>
        <v>#N/A</v>
      </c>
      <c r="D133" s="85" t="e">
        <f>VLOOKUP($B133,'Іменні заявки'!$A:$J,3,FALSE)</f>
        <v>#N/A</v>
      </c>
      <c r="E133" s="86" t="e">
        <f>VLOOKUP($B133,'Іменні заявки'!$A:$J,4,FALSE)</f>
        <v>#N/A</v>
      </c>
      <c r="F133" s="509"/>
      <c r="G133" s="512"/>
      <c r="H133" s="515"/>
      <c r="I133" s="515"/>
      <c r="J133" s="515"/>
      <c r="K133" s="87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33" s="88" t="e">
        <f>VLOOKUP($B133,'Іменні заявки'!$A:$J,10,FALSE)</f>
        <v>#N/A</v>
      </c>
    </row>
    <row r="134" spans="1:12" ht="12.75" customHeight="1" hidden="1">
      <c r="A134" s="486">
        <v>21</v>
      </c>
      <c r="B134" s="54"/>
      <c r="C134" s="74" t="e">
        <f>VLOOKUP($B134,'Іменні заявки'!$A:$J,2,FALSE)</f>
        <v>#N/A</v>
      </c>
      <c r="D134" s="75" t="e">
        <f>VLOOKUP($B134,'Іменні заявки'!$A:$J,3,FALSE)</f>
        <v>#N/A</v>
      </c>
      <c r="E134" s="76" t="e">
        <f>VLOOKUP($B134,'Іменні заявки'!$A:$J,4,FALSE)</f>
        <v>#N/A</v>
      </c>
      <c r="F134" s="507" t="e">
        <f>VLOOKUP($B134-RIGHT($B134,1),'Прот.рез.Кр.-пох.'!$A:$AA,25,FALSE)</f>
        <v>#VALUE!</v>
      </c>
      <c r="G134" s="510" t="str">
        <f>IF(ISERROR($F134),"—",IF(OR(ISTEXT($F134),$F134=""),"—",IF(VLOOKUP($B134-RIGHT($B134,1),'Проток.рез.КСП'!A:Y,25,FALSE)&lt;&gt;"",VLOOKUP($B134-RIGHT($B134,1),'Проток.рез.КСП'!A:Y,25,FALSE),ROUND($F134/$F$14*100,2))))</f>
        <v>—</v>
      </c>
      <c r="H134" s="513" t="e">
        <f>VLOOKUP($B134,'Іменні заявки'!$A:$J,8,FALSE)</f>
        <v>#N/A</v>
      </c>
      <c r="I134" s="513" t="e">
        <f>VLOOKUP($B134,'Іменні заявки'!$A:$J,7,FALSE)</f>
        <v>#N/A</v>
      </c>
      <c r="J134" s="513" t="e">
        <f>VLOOKUP($B134,'Іменні заявки'!$A:$J,9,FALSE)</f>
        <v>#N/A</v>
      </c>
      <c r="K134" s="53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4" s="77" t="e">
        <f>VLOOKUP($B134,'Іменні заявки'!$A:$J,10,FALSE)</f>
        <v>#N/A</v>
      </c>
    </row>
    <row r="135" spans="1:12" ht="12.75" customHeight="1" hidden="1">
      <c r="A135" s="487"/>
      <c r="B135" s="56"/>
      <c r="C135" s="79" t="e">
        <f>VLOOKUP($B135,'Іменні заявки'!$A:$J,2,FALSE)</f>
        <v>#N/A</v>
      </c>
      <c r="D135" s="80" t="e">
        <f>VLOOKUP($B135,'Іменні заявки'!$A:$J,3,FALSE)</f>
        <v>#N/A</v>
      </c>
      <c r="E135" s="81" t="e">
        <f>VLOOKUP($B135,'Іменні заявки'!$A:$J,4,FALSE)</f>
        <v>#N/A</v>
      </c>
      <c r="F135" s="508"/>
      <c r="G135" s="511"/>
      <c r="H135" s="514"/>
      <c r="I135" s="514"/>
      <c r="J135" s="514"/>
      <c r="K135" s="55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5" s="82" t="e">
        <f>VLOOKUP($B135,'Іменні заявки'!$A:$J,10,FALSE)</f>
        <v>#N/A</v>
      </c>
    </row>
    <row r="136" spans="1:12" ht="12.75" customHeight="1" hidden="1">
      <c r="A136" s="487"/>
      <c r="B136" s="56"/>
      <c r="C136" s="79" t="e">
        <f>VLOOKUP($B136,'Іменні заявки'!$A:$J,2,FALSE)</f>
        <v>#N/A</v>
      </c>
      <c r="D136" s="80" t="e">
        <f>VLOOKUP($B136,'Іменні заявки'!$A:$J,3,FALSE)</f>
        <v>#N/A</v>
      </c>
      <c r="E136" s="81" t="e">
        <f>VLOOKUP($B136,'Іменні заявки'!$A:$J,4,FALSE)</f>
        <v>#N/A</v>
      </c>
      <c r="F136" s="508"/>
      <c r="G136" s="511"/>
      <c r="H136" s="514"/>
      <c r="I136" s="514"/>
      <c r="J136" s="514"/>
      <c r="K136" s="55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6" s="82" t="e">
        <f>VLOOKUP($B136,'Іменні заявки'!$A:$J,10,FALSE)</f>
        <v>#N/A</v>
      </c>
    </row>
    <row r="137" spans="1:12" ht="12.75" customHeight="1" hidden="1">
      <c r="A137" s="487"/>
      <c r="B137" s="56"/>
      <c r="C137" s="79" t="e">
        <f>VLOOKUP($B137,'Іменні заявки'!$A:$J,2,FALSE)</f>
        <v>#N/A</v>
      </c>
      <c r="D137" s="80" t="e">
        <f>VLOOKUP($B137,'Іменні заявки'!$A:$J,3,FALSE)</f>
        <v>#N/A</v>
      </c>
      <c r="E137" s="81" t="e">
        <f>VLOOKUP($B137,'Іменні заявки'!$A:$J,4,FALSE)</f>
        <v>#N/A</v>
      </c>
      <c r="F137" s="508"/>
      <c r="G137" s="511"/>
      <c r="H137" s="514"/>
      <c r="I137" s="514"/>
      <c r="J137" s="514"/>
      <c r="K137" s="55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7" s="82" t="e">
        <f>VLOOKUP($B137,'Іменні заявки'!$A:$J,10,FALSE)</f>
        <v>#N/A</v>
      </c>
    </row>
    <row r="138" spans="1:12" ht="12.75" customHeight="1" hidden="1">
      <c r="A138" s="487"/>
      <c r="B138" s="56"/>
      <c r="C138" s="79" t="e">
        <f>VLOOKUP($B138,'Іменні заявки'!$A:$J,2,FALSE)</f>
        <v>#N/A</v>
      </c>
      <c r="D138" s="80" t="e">
        <f>VLOOKUP($B138,'Іменні заявки'!$A:$J,3,FALSE)</f>
        <v>#N/A</v>
      </c>
      <c r="E138" s="81" t="e">
        <f>VLOOKUP($B138,'Іменні заявки'!$A:$J,4,FALSE)</f>
        <v>#N/A</v>
      </c>
      <c r="F138" s="508"/>
      <c r="G138" s="511"/>
      <c r="H138" s="514"/>
      <c r="I138" s="514"/>
      <c r="J138" s="514"/>
      <c r="K138" s="55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8" s="82" t="e">
        <f>VLOOKUP($B138,'Іменні заявки'!$A:$J,10,FALSE)</f>
        <v>#N/A</v>
      </c>
    </row>
    <row r="139" spans="1:12" ht="12.75" customHeight="1" hidden="1" thickBot="1">
      <c r="A139" s="506"/>
      <c r="B139" s="83"/>
      <c r="C139" s="84" t="e">
        <f>VLOOKUP($B139,'Іменні заявки'!$A:$J,2,FALSE)</f>
        <v>#N/A</v>
      </c>
      <c r="D139" s="85" t="e">
        <f>VLOOKUP($B139,'Іменні заявки'!$A:$J,3,FALSE)</f>
        <v>#N/A</v>
      </c>
      <c r="E139" s="86" t="e">
        <f>VLOOKUP($B139,'Іменні заявки'!$A:$J,4,FALSE)</f>
        <v>#N/A</v>
      </c>
      <c r="F139" s="509"/>
      <c r="G139" s="512"/>
      <c r="H139" s="515"/>
      <c r="I139" s="515"/>
      <c r="J139" s="515"/>
      <c r="K139" s="87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9" s="88" t="e">
        <f>VLOOKUP($B139,'Іменні заявки'!$A:$J,10,FALSE)</f>
        <v>#N/A</v>
      </c>
    </row>
    <row r="140" spans="1:12" ht="12.75" customHeight="1" hidden="1">
      <c r="A140" s="486">
        <v>22</v>
      </c>
      <c r="B140" s="54"/>
      <c r="C140" s="74" t="e">
        <f>VLOOKUP($B140,'Іменні заявки'!$A:$J,2,FALSE)</f>
        <v>#N/A</v>
      </c>
      <c r="D140" s="75" t="e">
        <f>VLOOKUP($B140,'Іменні заявки'!$A:$J,3,FALSE)</f>
        <v>#N/A</v>
      </c>
      <c r="E140" s="76" t="e">
        <f>VLOOKUP($B140,'Іменні заявки'!$A:$J,4,FALSE)</f>
        <v>#N/A</v>
      </c>
      <c r="F140" s="507" t="e">
        <f>VLOOKUP($B140-RIGHT($B140,1),'Прот.рез.Кр.-пох.'!$A:$AA,25,FALSE)</f>
        <v>#VALUE!</v>
      </c>
      <c r="G140" s="510" t="str">
        <f>IF(ISERROR($F140),"—",IF(OR(ISTEXT($F140),$F140=""),"—",IF(VLOOKUP($B140-RIGHT($B140,1),'Проток.рез.КСП'!A:Y,25,FALSE)&lt;&gt;"",VLOOKUP($B140-RIGHT($B140,1),'Проток.рез.КСП'!A:Y,25,FALSE),ROUND($F140/$F$14*100,2))))</f>
        <v>—</v>
      </c>
      <c r="H140" s="513" t="e">
        <f>VLOOKUP($B140,'Іменні заявки'!$A:$J,8,FALSE)</f>
        <v>#N/A</v>
      </c>
      <c r="I140" s="513" t="e">
        <f>VLOOKUP($B140,'Іменні заявки'!$A:$J,7,FALSE)</f>
        <v>#N/A</v>
      </c>
      <c r="J140" s="513" t="e">
        <f>VLOOKUP($B140,'Іменні заявки'!$A:$J,9,FALSE)</f>
        <v>#N/A</v>
      </c>
      <c r="K140" s="53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0" s="77" t="e">
        <f>VLOOKUP($B140,'Іменні заявки'!$A:$J,10,FALSE)</f>
        <v>#N/A</v>
      </c>
    </row>
    <row r="141" spans="1:12" ht="12.75" customHeight="1" hidden="1">
      <c r="A141" s="487"/>
      <c r="B141" s="56"/>
      <c r="C141" s="79" t="e">
        <f>VLOOKUP($B141,'Іменні заявки'!$A:$J,2,FALSE)</f>
        <v>#N/A</v>
      </c>
      <c r="D141" s="80" t="e">
        <f>VLOOKUP($B141,'Іменні заявки'!$A:$J,3,FALSE)</f>
        <v>#N/A</v>
      </c>
      <c r="E141" s="81" t="e">
        <f>VLOOKUP($B141,'Іменні заявки'!$A:$J,4,FALSE)</f>
        <v>#N/A</v>
      </c>
      <c r="F141" s="508"/>
      <c r="G141" s="511"/>
      <c r="H141" s="514"/>
      <c r="I141" s="514"/>
      <c r="J141" s="514"/>
      <c r="K141" s="55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1" s="82" t="e">
        <f>VLOOKUP($B141,'Іменні заявки'!$A:$J,10,FALSE)</f>
        <v>#N/A</v>
      </c>
    </row>
    <row r="142" spans="1:12" ht="12.75" customHeight="1" hidden="1">
      <c r="A142" s="487"/>
      <c r="B142" s="56"/>
      <c r="C142" s="79" t="e">
        <f>VLOOKUP($B142,'Іменні заявки'!$A:$J,2,FALSE)</f>
        <v>#N/A</v>
      </c>
      <c r="D142" s="80" t="e">
        <f>VLOOKUP($B142,'Іменні заявки'!$A:$J,3,FALSE)</f>
        <v>#N/A</v>
      </c>
      <c r="E142" s="81" t="e">
        <f>VLOOKUP($B142,'Іменні заявки'!$A:$J,4,FALSE)</f>
        <v>#N/A</v>
      </c>
      <c r="F142" s="508"/>
      <c r="G142" s="511"/>
      <c r="H142" s="514"/>
      <c r="I142" s="514"/>
      <c r="J142" s="514"/>
      <c r="K142" s="55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2" s="82" t="e">
        <f>VLOOKUP($B142,'Іменні заявки'!$A:$J,10,FALSE)</f>
        <v>#N/A</v>
      </c>
    </row>
    <row r="143" spans="1:12" ht="12.75" customHeight="1" hidden="1">
      <c r="A143" s="487"/>
      <c r="B143" s="56"/>
      <c r="C143" s="79" t="e">
        <f>VLOOKUP($B143,'Іменні заявки'!$A:$J,2,FALSE)</f>
        <v>#N/A</v>
      </c>
      <c r="D143" s="80" t="e">
        <f>VLOOKUP($B143,'Іменні заявки'!$A:$J,3,FALSE)</f>
        <v>#N/A</v>
      </c>
      <c r="E143" s="81" t="e">
        <f>VLOOKUP($B143,'Іменні заявки'!$A:$J,4,FALSE)</f>
        <v>#N/A</v>
      </c>
      <c r="F143" s="508"/>
      <c r="G143" s="511"/>
      <c r="H143" s="514"/>
      <c r="I143" s="514"/>
      <c r="J143" s="514"/>
      <c r="K143" s="55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3" s="82" t="e">
        <f>VLOOKUP($B143,'Іменні заявки'!$A:$J,10,FALSE)</f>
        <v>#N/A</v>
      </c>
    </row>
    <row r="144" spans="1:12" ht="12.75" customHeight="1" hidden="1">
      <c r="A144" s="487"/>
      <c r="B144" s="56"/>
      <c r="C144" s="79" t="e">
        <f>VLOOKUP($B144,'Іменні заявки'!$A:$J,2,FALSE)</f>
        <v>#N/A</v>
      </c>
      <c r="D144" s="80" t="e">
        <f>VLOOKUP($B144,'Іменні заявки'!$A:$J,3,FALSE)</f>
        <v>#N/A</v>
      </c>
      <c r="E144" s="81" t="e">
        <f>VLOOKUP($B144,'Іменні заявки'!$A:$J,4,FALSE)</f>
        <v>#N/A</v>
      </c>
      <c r="F144" s="508"/>
      <c r="G144" s="511"/>
      <c r="H144" s="514"/>
      <c r="I144" s="514"/>
      <c r="J144" s="514"/>
      <c r="K144" s="55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4" s="82" t="e">
        <f>VLOOKUP($B144,'Іменні заявки'!$A:$J,10,FALSE)</f>
        <v>#N/A</v>
      </c>
    </row>
    <row r="145" spans="1:12" ht="12.75" customHeight="1" hidden="1" thickBot="1">
      <c r="A145" s="506"/>
      <c r="B145" s="83"/>
      <c r="C145" s="84" t="e">
        <f>VLOOKUP($B145,'Іменні заявки'!$A:$J,2,FALSE)</f>
        <v>#N/A</v>
      </c>
      <c r="D145" s="85" t="e">
        <f>VLOOKUP($B145,'Іменні заявки'!$A:$J,3,FALSE)</f>
        <v>#N/A</v>
      </c>
      <c r="E145" s="86" t="e">
        <f>VLOOKUP($B145,'Іменні заявки'!$A:$J,4,FALSE)</f>
        <v>#N/A</v>
      </c>
      <c r="F145" s="509"/>
      <c r="G145" s="512"/>
      <c r="H145" s="515"/>
      <c r="I145" s="515"/>
      <c r="J145" s="515"/>
      <c r="K145" s="87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5" s="88" t="e">
        <f>VLOOKUP($B145,'Іменні заявки'!$A:$J,10,FALSE)</f>
        <v>#N/A</v>
      </c>
    </row>
    <row r="146" spans="1:12" ht="12.75" customHeight="1" hidden="1">
      <c r="A146" s="486">
        <v>23</v>
      </c>
      <c r="B146" s="54"/>
      <c r="C146" s="74" t="e">
        <f>VLOOKUP($B146,'Іменні заявки'!$A:$J,2,FALSE)</f>
        <v>#N/A</v>
      </c>
      <c r="D146" s="75" t="e">
        <f>VLOOKUP($B146,'Іменні заявки'!$A:$J,3,FALSE)</f>
        <v>#N/A</v>
      </c>
      <c r="E146" s="76" t="e">
        <f>VLOOKUP($B146,'Іменні заявки'!$A:$J,4,FALSE)</f>
        <v>#N/A</v>
      </c>
      <c r="F146" s="507" t="e">
        <f>VLOOKUP($B146-RIGHT($B146,1),'Прот.рез.Кр.-пох.'!$A:$AA,25,FALSE)</f>
        <v>#VALUE!</v>
      </c>
      <c r="G146" s="510" t="str">
        <f>IF(ISERROR($F146),"—",IF(OR(ISTEXT($F146),$F146=""),"—",IF(VLOOKUP($B146-RIGHT($B146,1),'Проток.рез.КСП'!A:Y,25,FALSE)&lt;&gt;"",VLOOKUP($B146-RIGHT($B146,1),'Проток.рез.КСП'!A:Y,25,FALSE),ROUND($F146/$F$14*100,2))))</f>
        <v>—</v>
      </c>
      <c r="H146" s="513" t="e">
        <f>VLOOKUP($B146,'Іменні заявки'!$A:$J,8,FALSE)</f>
        <v>#N/A</v>
      </c>
      <c r="I146" s="513" t="e">
        <f>VLOOKUP($B146,'Іменні заявки'!$A:$J,7,FALSE)</f>
        <v>#N/A</v>
      </c>
      <c r="J146" s="513" t="e">
        <f>VLOOKUP($B146,'Іменні заявки'!$A:$J,9,FALSE)</f>
        <v>#N/A</v>
      </c>
      <c r="K146" s="53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46" s="77" t="e">
        <f>VLOOKUP($B146,'Іменні заявки'!$A:$J,10,FALSE)</f>
        <v>#N/A</v>
      </c>
    </row>
    <row r="147" spans="1:12" ht="12.75" customHeight="1" hidden="1">
      <c r="A147" s="487"/>
      <c r="B147" s="56"/>
      <c r="C147" s="79" t="e">
        <f>VLOOKUP($B147,'Іменні заявки'!$A:$J,2,FALSE)</f>
        <v>#N/A</v>
      </c>
      <c r="D147" s="80" t="e">
        <f>VLOOKUP($B147,'Іменні заявки'!$A:$J,3,FALSE)</f>
        <v>#N/A</v>
      </c>
      <c r="E147" s="81" t="e">
        <f>VLOOKUP($B147,'Іменні заявки'!$A:$J,4,FALSE)</f>
        <v>#N/A</v>
      </c>
      <c r="F147" s="508"/>
      <c r="G147" s="511"/>
      <c r="H147" s="514"/>
      <c r="I147" s="514"/>
      <c r="J147" s="514"/>
      <c r="K147" s="55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47" s="82" t="e">
        <f>VLOOKUP($B147,'Іменні заявки'!$A:$J,10,FALSE)</f>
        <v>#N/A</v>
      </c>
    </row>
    <row r="148" spans="1:12" ht="12.75" customHeight="1" hidden="1">
      <c r="A148" s="487"/>
      <c r="B148" s="56"/>
      <c r="C148" s="79" t="e">
        <f>VLOOKUP($B148,'Іменні заявки'!$A:$J,2,FALSE)</f>
        <v>#N/A</v>
      </c>
      <c r="D148" s="80" t="e">
        <f>VLOOKUP($B148,'Іменні заявки'!$A:$J,3,FALSE)</f>
        <v>#N/A</v>
      </c>
      <c r="E148" s="81" t="e">
        <f>VLOOKUP($B148,'Іменні заявки'!$A:$J,4,FALSE)</f>
        <v>#N/A</v>
      </c>
      <c r="F148" s="508"/>
      <c r="G148" s="511"/>
      <c r="H148" s="514"/>
      <c r="I148" s="514"/>
      <c r="J148" s="514"/>
      <c r="K148" s="55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48" s="82" t="e">
        <f>VLOOKUP($B148,'Іменні заявки'!$A:$J,10,FALSE)</f>
        <v>#N/A</v>
      </c>
    </row>
    <row r="149" spans="1:12" ht="12.75" customHeight="1" hidden="1">
      <c r="A149" s="487"/>
      <c r="B149" s="56"/>
      <c r="C149" s="79" t="e">
        <f>VLOOKUP($B149,'Іменні заявки'!$A:$J,2,FALSE)</f>
        <v>#N/A</v>
      </c>
      <c r="D149" s="80" t="e">
        <f>VLOOKUP($B149,'Іменні заявки'!$A:$J,3,FALSE)</f>
        <v>#N/A</v>
      </c>
      <c r="E149" s="81" t="e">
        <f>VLOOKUP($B149,'Іменні заявки'!$A:$J,4,FALSE)</f>
        <v>#N/A</v>
      </c>
      <c r="F149" s="508"/>
      <c r="G149" s="511"/>
      <c r="H149" s="514"/>
      <c r="I149" s="514"/>
      <c r="J149" s="514"/>
      <c r="K149" s="55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49" s="82" t="e">
        <f>VLOOKUP($B149,'Іменні заявки'!$A:$J,10,FALSE)</f>
        <v>#N/A</v>
      </c>
    </row>
    <row r="150" spans="1:12" ht="12.75" customHeight="1" hidden="1">
      <c r="A150" s="487"/>
      <c r="B150" s="56"/>
      <c r="C150" s="79" t="e">
        <f>VLOOKUP($B150,'Іменні заявки'!$A:$J,2,FALSE)</f>
        <v>#N/A</v>
      </c>
      <c r="D150" s="80" t="e">
        <f>VLOOKUP($B150,'Іменні заявки'!$A:$J,3,FALSE)</f>
        <v>#N/A</v>
      </c>
      <c r="E150" s="81" t="e">
        <f>VLOOKUP($B150,'Іменні заявки'!$A:$J,4,FALSE)</f>
        <v>#N/A</v>
      </c>
      <c r="F150" s="508"/>
      <c r="G150" s="511"/>
      <c r="H150" s="514"/>
      <c r="I150" s="514"/>
      <c r="J150" s="514"/>
      <c r="K150" s="55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50" s="82" t="e">
        <f>VLOOKUP($B150,'Іменні заявки'!$A:$J,10,FALSE)</f>
        <v>#N/A</v>
      </c>
    </row>
    <row r="151" spans="1:12" ht="12.75" customHeight="1" hidden="1" thickBot="1">
      <c r="A151" s="506"/>
      <c r="B151" s="83"/>
      <c r="C151" s="84" t="e">
        <f>VLOOKUP($B151,'Іменні заявки'!$A:$J,2,FALSE)</f>
        <v>#N/A</v>
      </c>
      <c r="D151" s="85" t="e">
        <f>VLOOKUP($B151,'Іменні заявки'!$A:$J,3,FALSE)</f>
        <v>#N/A</v>
      </c>
      <c r="E151" s="86" t="e">
        <f>VLOOKUP($B151,'Іменні заявки'!$A:$J,4,FALSE)</f>
        <v>#N/A</v>
      </c>
      <c r="F151" s="509"/>
      <c r="G151" s="512"/>
      <c r="H151" s="515"/>
      <c r="I151" s="515"/>
      <c r="J151" s="515"/>
      <c r="K151" s="87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51" s="88" t="e">
        <f>VLOOKUP($B151,'Іменні заявки'!$A:$J,10,FALSE)</f>
        <v>#N/A</v>
      </c>
    </row>
    <row r="152" spans="1:12" ht="12.75" customHeight="1" hidden="1">
      <c r="A152" s="486">
        <v>24</v>
      </c>
      <c r="B152" s="54"/>
      <c r="C152" s="74" t="e">
        <f>VLOOKUP($B152,'Іменні заявки'!$A:$J,2,FALSE)</f>
        <v>#N/A</v>
      </c>
      <c r="D152" s="75" t="e">
        <f>VLOOKUP($B152,'Іменні заявки'!$A:$J,3,FALSE)</f>
        <v>#N/A</v>
      </c>
      <c r="E152" s="76" t="e">
        <f>VLOOKUP($B152,'Іменні заявки'!$A:$J,4,FALSE)</f>
        <v>#N/A</v>
      </c>
      <c r="F152" s="507" t="e">
        <f>VLOOKUP($B152-RIGHT($B152,1),'Прот.рез.Кр.-пох.'!$A:$AA,25,FALSE)</f>
        <v>#VALUE!</v>
      </c>
      <c r="G152" s="510" t="str">
        <f>IF(ISERROR($F152),"—",IF(OR(ISTEXT($F152),$F152=""),"—",IF(VLOOKUP($B152-RIGHT($B152,1),'Проток.рез.КСП'!A:Y,25,FALSE)&lt;&gt;"",VLOOKUP($B152-RIGHT($B152,1),'Проток.рез.КСП'!A:Y,25,FALSE),ROUND($F152/$F$14*100,2))))</f>
        <v>—</v>
      </c>
      <c r="H152" s="513" t="e">
        <f>VLOOKUP($B152,'Іменні заявки'!$A:$J,8,FALSE)</f>
        <v>#N/A</v>
      </c>
      <c r="I152" s="513" t="e">
        <f>VLOOKUP($B152,'Іменні заявки'!$A:$J,7,FALSE)</f>
        <v>#N/A</v>
      </c>
      <c r="J152" s="513" t="e">
        <f>VLOOKUP($B152,'Іменні заявки'!$A:$J,9,FALSE)</f>
        <v>#N/A</v>
      </c>
      <c r="K152" s="53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2" s="77" t="e">
        <f>VLOOKUP($B152,'Іменні заявки'!$A:$J,10,FALSE)</f>
        <v>#N/A</v>
      </c>
    </row>
    <row r="153" spans="1:12" ht="12.75" customHeight="1" hidden="1">
      <c r="A153" s="487"/>
      <c r="B153" s="56"/>
      <c r="C153" s="79" t="e">
        <f>VLOOKUP($B153,'Іменні заявки'!$A:$J,2,FALSE)</f>
        <v>#N/A</v>
      </c>
      <c r="D153" s="80" t="e">
        <f>VLOOKUP($B153,'Іменні заявки'!$A:$J,3,FALSE)</f>
        <v>#N/A</v>
      </c>
      <c r="E153" s="81" t="e">
        <f>VLOOKUP($B153,'Іменні заявки'!$A:$J,4,FALSE)</f>
        <v>#N/A</v>
      </c>
      <c r="F153" s="508"/>
      <c r="G153" s="511"/>
      <c r="H153" s="514"/>
      <c r="I153" s="514"/>
      <c r="J153" s="514"/>
      <c r="K153" s="55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3" s="82" t="e">
        <f>VLOOKUP($B153,'Іменні заявки'!$A:$J,10,FALSE)</f>
        <v>#N/A</v>
      </c>
    </row>
    <row r="154" spans="1:12" ht="12.75" customHeight="1" hidden="1">
      <c r="A154" s="487"/>
      <c r="B154" s="56"/>
      <c r="C154" s="79" t="e">
        <f>VLOOKUP($B154,'Іменні заявки'!$A:$J,2,FALSE)</f>
        <v>#N/A</v>
      </c>
      <c r="D154" s="80" t="e">
        <f>VLOOKUP($B154,'Іменні заявки'!$A:$J,3,FALSE)</f>
        <v>#N/A</v>
      </c>
      <c r="E154" s="81" t="e">
        <f>VLOOKUP($B154,'Іменні заявки'!$A:$J,4,FALSE)</f>
        <v>#N/A</v>
      </c>
      <c r="F154" s="508"/>
      <c r="G154" s="511"/>
      <c r="H154" s="514"/>
      <c r="I154" s="514"/>
      <c r="J154" s="514"/>
      <c r="K154" s="55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4" s="82" t="e">
        <f>VLOOKUP($B154,'Іменні заявки'!$A:$J,10,FALSE)</f>
        <v>#N/A</v>
      </c>
    </row>
    <row r="155" spans="1:12" ht="12.75" customHeight="1" hidden="1">
      <c r="A155" s="487"/>
      <c r="B155" s="56"/>
      <c r="C155" s="79" t="e">
        <f>VLOOKUP($B155,'Іменні заявки'!$A:$J,2,FALSE)</f>
        <v>#N/A</v>
      </c>
      <c r="D155" s="80" t="e">
        <f>VLOOKUP($B155,'Іменні заявки'!$A:$J,3,FALSE)</f>
        <v>#N/A</v>
      </c>
      <c r="E155" s="81" t="e">
        <f>VLOOKUP($B155,'Іменні заявки'!$A:$J,4,FALSE)</f>
        <v>#N/A</v>
      </c>
      <c r="F155" s="508"/>
      <c r="G155" s="511"/>
      <c r="H155" s="514"/>
      <c r="I155" s="514"/>
      <c r="J155" s="514"/>
      <c r="K155" s="55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5" s="82" t="e">
        <f>VLOOKUP($B155,'Іменні заявки'!$A:$J,10,FALSE)</f>
        <v>#N/A</v>
      </c>
    </row>
    <row r="156" spans="1:12" ht="12.75" customHeight="1" hidden="1">
      <c r="A156" s="487"/>
      <c r="B156" s="56"/>
      <c r="C156" s="79" t="e">
        <f>VLOOKUP($B156,'Іменні заявки'!$A:$J,2,FALSE)</f>
        <v>#N/A</v>
      </c>
      <c r="D156" s="80" t="e">
        <f>VLOOKUP($B156,'Іменні заявки'!$A:$J,3,FALSE)</f>
        <v>#N/A</v>
      </c>
      <c r="E156" s="81" t="e">
        <f>VLOOKUP($B156,'Іменні заявки'!$A:$J,4,FALSE)</f>
        <v>#N/A</v>
      </c>
      <c r="F156" s="508"/>
      <c r="G156" s="511"/>
      <c r="H156" s="514"/>
      <c r="I156" s="514"/>
      <c r="J156" s="514"/>
      <c r="K156" s="55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6" s="82" t="e">
        <f>VLOOKUP($B156,'Іменні заявки'!$A:$J,10,FALSE)</f>
        <v>#N/A</v>
      </c>
    </row>
    <row r="157" spans="1:12" ht="12.75" customHeight="1" hidden="1" thickBot="1">
      <c r="A157" s="506"/>
      <c r="B157" s="83"/>
      <c r="C157" s="84" t="e">
        <f>VLOOKUP($B157,'Іменні заявки'!$A:$J,2,FALSE)</f>
        <v>#N/A</v>
      </c>
      <c r="D157" s="85" t="e">
        <f>VLOOKUP($B157,'Іменні заявки'!$A:$J,3,FALSE)</f>
        <v>#N/A</v>
      </c>
      <c r="E157" s="86" t="e">
        <f>VLOOKUP($B157,'Іменні заявки'!$A:$J,4,FALSE)</f>
        <v>#N/A</v>
      </c>
      <c r="F157" s="509"/>
      <c r="G157" s="512"/>
      <c r="H157" s="515"/>
      <c r="I157" s="515"/>
      <c r="J157" s="515"/>
      <c r="K157" s="87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7" s="88" t="e">
        <f>VLOOKUP($B157,'Іменні заявки'!$A:$J,10,FALSE)</f>
        <v>#N/A</v>
      </c>
    </row>
    <row r="158" spans="1:12" ht="12.75" customHeight="1" hidden="1">
      <c r="A158" s="486">
        <v>25</v>
      </c>
      <c r="B158" s="54"/>
      <c r="C158" s="74" t="e">
        <f>VLOOKUP($B158,'Іменні заявки'!$A:$J,2,FALSE)</f>
        <v>#N/A</v>
      </c>
      <c r="D158" s="75" t="e">
        <f>VLOOKUP($B158,'Іменні заявки'!$A:$J,3,FALSE)</f>
        <v>#N/A</v>
      </c>
      <c r="E158" s="76" t="e">
        <f>VLOOKUP($B158,'Іменні заявки'!$A:$J,4,FALSE)</f>
        <v>#N/A</v>
      </c>
      <c r="F158" s="507" t="e">
        <f>VLOOKUP($B158-RIGHT($B158,1),'Прот.рез.Кр.-пох.'!$A:$AA,25,FALSE)</f>
        <v>#VALUE!</v>
      </c>
      <c r="G158" s="510" t="str">
        <f>IF(ISERROR($F158),"—",IF(OR(ISTEXT($F158),$F158=""),"—",IF(VLOOKUP($B158-RIGHT($B158,1),'Проток.рез.КСП'!A:Y,25,FALSE)&lt;&gt;"",VLOOKUP($B158-RIGHT($B158,1),'Проток.рез.КСП'!A:Y,25,FALSE),ROUND($F158/$F$14*100,2))))</f>
        <v>—</v>
      </c>
      <c r="H158" s="513" t="e">
        <f>VLOOKUP($B158,'Іменні заявки'!$A:$J,8,FALSE)</f>
        <v>#N/A</v>
      </c>
      <c r="I158" s="513" t="e">
        <f>VLOOKUP($B158,'Іменні заявки'!$A:$J,7,FALSE)</f>
        <v>#N/A</v>
      </c>
      <c r="J158" s="513" t="e">
        <f>VLOOKUP($B158,'Іменні заявки'!$A:$J,9,FALSE)</f>
        <v>#N/A</v>
      </c>
      <c r="K158" s="53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58" s="77" t="e">
        <f>VLOOKUP($B158,'Іменні заявки'!$A:$J,10,FALSE)</f>
        <v>#N/A</v>
      </c>
    </row>
    <row r="159" spans="1:12" ht="12.75" customHeight="1" hidden="1">
      <c r="A159" s="487"/>
      <c r="B159" s="56"/>
      <c r="C159" s="79" t="e">
        <f>VLOOKUP($B159,'Іменні заявки'!$A:$J,2,FALSE)</f>
        <v>#N/A</v>
      </c>
      <c r="D159" s="80" t="e">
        <f>VLOOKUP($B159,'Іменні заявки'!$A:$J,3,FALSE)</f>
        <v>#N/A</v>
      </c>
      <c r="E159" s="81" t="e">
        <f>VLOOKUP($B159,'Іменні заявки'!$A:$J,4,FALSE)</f>
        <v>#N/A</v>
      </c>
      <c r="F159" s="508"/>
      <c r="G159" s="511"/>
      <c r="H159" s="514"/>
      <c r="I159" s="514"/>
      <c r="J159" s="514"/>
      <c r="K159" s="55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59" s="82" t="e">
        <f>VLOOKUP($B159,'Іменні заявки'!$A:$J,10,FALSE)</f>
        <v>#N/A</v>
      </c>
    </row>
    <row r="160" spans="1:12" ht="12.75" customHeight="1" hidden="1">
      <c r="A160" s="487"/>
      <c r="B160" s="56"/>
      <c r="C160" s="79" t="e">
        <f>VLOOKUP($B160,'Іменні заявки'!$A:$J,2,FALSE)</f>
        <v>#N/A</v>
      </c>
      <c r="D160" s="80" t="e">
        <f>VLOOKUP($B160,'Іменні заявки'!$A:$J,3,FALSE)</f>
        <v>#N/A</v>
      </c>
      <c r="E160" s="81" t="e">
        <f>VLOOKUP($B160,'Іменні заявки'!$A:$J,4,FALSE)</f>
        <v>#N/A</v>
      </c>
      <c r="F160" s="508"/>
      <c r="G160" s="511"/>
      <c r="H160" s="514"/>
      <c r="I160" s="514"/>
      <c r="J160" s="514"/>
      <c r="K160" s="55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60" s="82" t="e">
        <f>VLOOKUP($B160,'Іменні заявки'!$A:$J,10,FALSE)</f>
        <v>#N/A</v>
      </c>
    </row>
    <row r="161" spans="1:12" ht="12.75" customHeight="1" hidden="1">
      <c r="A161" s="487"/>
      <c r="B161" s="56"/>
      <c r="C161" s="79" t="e">
        <f>VLOOKUP($B161,'Іменні заявки'!$A:$J,2,FALSE)</f>
        <v>#N/A</v>
      </c>
      <c r="D161" s="80" t="e">
        <f>VLOOKUP($B161,'Іменні заявки'!$A:$J,3,FALSE)</f>
        <v>#N/A</v>
      </c>
      <c r="E161" s="81" t="e">
        <f>VLOOKUP($B161,'Іменні заявки'!$A:$J,4,FALSE)</f>
        <v>#N/A</v>
      </c>
      <c r="F161" s="508"/>
      <c r="G161" s="511"/>
      <c r="H161" s="514"/>
      <c r="I161" s="514"/>
      <c r="J161" s="514"/>
      <c r="K161" s="55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61" s="82" t="e">
        <f>VLOOKUP($B161,'Іменні заявки'!$A:$J,10,FALSE)</f>
        <v>#N/A</v>
      </c>
    </row>
    <row r="162" spans="1:12" ht="12.75" customHeight="1" hidden="1">
      <c r="A162" s="487"/>
      <c r="B162" s="56"/>
      <c r="C162" s="79" t="e">
        <f>VLOOKUP($B162,'Іменні заявки'!$A:$J,2,FALSE)</f>
        <v>#N/A</v>
      </c>
      <c r="D162" s="80" t="e">
        <f>VLOOKUP($B162,'Іменні заявки'!$A:$J,3,FALSE)</f>
        <v>#N/A</v>
      </c>
      <c r="E162" s="81" t="e">
        <f>VLOOKUP($B162,'Іменні заявки'!$A:$J,4,FALSE)</f>
        <v>#N/A</v>
      </c>
      <c r="F162" s="508"/>
      <c r="G162" s="511"/>
      <c r="H162" s="514"/>
      <c r="I162" s="514"/>
      <c r="J162" s="514"/>
      <c r="K162" s="55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62" s="82" t="e">
        <f>VLOOKUP($B162,'Іменні заявки'!$A:$J,10,FALSE)</f>
        <v>#N/A</v>
      </c>
    </row>
    <row r="163" spans="1:12" ht="12.75" customHeight="1" hidden="1" thickBot="1">
      <c r="A163" s="506"/>
      <c r="B163" s="83"/>
      <c r="C163" s="84" t="e">
        <f>VLOOKUP($B163,'Іменні заявки'!$A:$J,2,FALSE)</f>
        <v>#N/A</v>
      </c>
      <c r="D163" s="85" t="e">
        <f>VLOOKUP($B163,'Іменні заявки'!$A:$J,3,FALSE)</f>
        <v>#N/A</v>
      </c>
      <c r="E163" s="86" t="e">
        <f>VLOOKUP($B163,'Іменні заявки'!$A:$J,4,FALSE)</f>
        <v>#N/A</v>
      </c>
      <c r="F163" s="509"/>
      <c r="G163" s="512"/>
      <c r="H163" s="515"/>
      <c r="I163" s="515"/>
      <c r="J163" s="515"/>
      <c r="K163" s="87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63" s="88" t="e">
        <f>VLOOKUP($B163,'Іменні заявки'!$A:$J,10,FALSE)</f>
        <v>#N/A</v>
      </c>
    </row>
    <row r="164" spans="1:12" ht="12.75" customHeight="1" hidden="1">
      <c r="A164" s="486">
        <v>26</v>
      </c>
      <c r="B164" s="54"/>
      <c r="C164" s="74" t="e">
        <f>VLOOKUP($B164,'Іменні заявки'!$A:$J,2,FALSE)</f>
        <v>#N/A</v>
      </c>
      <c r="D164" s="75" t="e">
        <f>VLOOKUP($B164,'Іменні заявки'!$A:$J,3,FALSE)</f>
        <v>#N/A</v>
      </c>
      <c r="E164" s="76" t="e">
        <f>VLOOKUP($B164,'Іменні заявки'!$A:$J,4,FALSE)</f>
        <v>#N/A</v>
      </c>
      <c r="F164" s="507" t="e">
        <f>VLOOKUP($B164-RIGHT($B164,1),'Прот.рез.Кр.-пох.'!$A:$AA,25,FALSE)</f>
        <v>#VALUE!</v>
      </c>
      <c r="G164" s="510" t="str">
        <f>IF(ISERROR($F164),"—",IF(OR(ISTEXT($F164),$F164=""),"—",IF(VLOOKUP($B164-RIGHT($B164,1),'Проток.рез.КСП'!A:Y,25,FALSE)&lt;&gt;"",VLOOKUP($B164-RIGHT($B164,1),'Проток.рез.КСП'!A:Y,25,FALSE),ROUND($F164/$F$14*100,2))))</f>
        <v>—</v>
      </c>
      <c r="H164" s="513" t="e">
        <f>VLOOKUP($B164,'Іменні заявки'!$A:$J,8,FALSE)</f>
        <v>#N/A</v>
      </c>
      <c r="I164" s="513" t="e">
        <f>VLOOKUP($B164,'Іменні заявки'!$A:$J,7,FALSE)</f>
        <v>#N/A</v>
      </c>
      <c r="J164" s="513" t="e">
        <f>VLOOKUP($B164,'Іменні заявки'!$A:$J,9,FALSE)</f>
        <v>#N/A</v>
      </c>
      <c r="K164" s="53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4" s="77" t="e">
        <f>VLOOKUP($B164,'Іменні заявки'!$A:$J,10,FALSE)</f>
        <v>#N/A</v>
      </c>
    </row>
    <row r="165" spans="1:12" ht="12.75" customHeight="1" hidden="1">
      <c r="A165" s="487"/>
      <c r="B165" s="56"/>
      <c r="C165" s="79" t="e">
        <f>VLOOKUP($B165,'Іменні заявки'!$A:$J,2,FALSE)</f>
        <v>#N/A</v>
      </c>
      <c r="D165" s="80" t="e">
        <f>VLOOKUP($B165,'Іменні заявки'!$A:$J,3,FALSE)</f>
        <v>#N/A</v>
      </c>
      <c r="E165" s="81" t="e">
        <f>VLOOKUP($B165,'Іменні заявки'!$A:$J,4,FALSE)</f>
        <v>#N/A</v>
      </c>
      <c r="F165" s="508"/>
      <c r="G165" s="511"/>
      <c r="H165" s="514"/>
      <c r="I165" s="514"/>
      <c r="J165" s="514"/>
      <c r="K165" s="55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5" s="82" t="e">
        <f>VLOOKUP($B165,'Іменні заявки'!$A:$J,10,FALSE)</f>
        <v>#N/A</v>
      </c>
    </row>
    <row r="166" spans="1:12" ht="12.75" customHeight="1" hidden="1">
      <c r="A166" s="487"/>
      <c r="B166" s="56"/>
      <c r="C166" s="79" t="e">
        <f>VLOOKUP($B166,'Іменні заявки'!$A:$J,2,FALSE)</f>
        <v>#N/A</v>
      </c>
      <c r="D166" s="80" t="e">
        <f>VLOOKUP($B166,'Іменні заявки'!$A:$J,3,FALSE)</f>
        <v>#N/A</v>
      </c>
      <c r="E166" s="81" t="e">
        <f>VLOOKUP($B166,'Іменні заявки'!$A:$J,4,FALSE)</f>
        <v>#N/A</v>
      </c>
      <c r="F166" s="508"/>
      <c r="G166" s="511"/>
      <c r="H166" s="514"/>
      <c r="I166" s="514"/>
      <c r="J166" s="514"/>
      <c r="K166" s="55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6" s="82" t="e">
        <f>VLOOKUP($B166,'Іменні заявки'!$A:$J,10,FALSE)</f>
        <v>#N/A</v>
      </c>
    </row>
    <row r="167" spans="1:12" ht="12.75" customHeight="1" hidden="1">
      <c r="A167" s="487"/>
      <c r="B167" s="56"/>
      <c r="C167" s="79" t="e">
        <f>VLOOKUP($B167,'Іменні заявки'!$A:$J,2,FALSE)</f>
        <v>#N/A</v>
      </c>
      <c r="D167" s="80" t="e">
        <f>VLOOKUP($B167,'Іменні заявки'!$A:$J,3,FALSE)</f>
        <v>#N/A</v>
      </c>
      <c r="E167" s="81" t="e">
        <f>VLOOKUP($B167,'Іменні заявки'!$A:$J,4,FALSE)</f>
        <v>#N/A</v>
      </c>
      <c r="F167" s="508"/>
      <c r="G167" s="511"/>
      <c r="H167" s="514"/>
      <c r="I167" s="514"/>
      <c r="J167" s="514"/>
      <c r="K167" s="55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7" s="82" t="e">
        <f>VLOOKUP($B167,'Іменні заявки'!$A:$J,10,FALSE)</f>
        <v>#N/A</v>
      </c>
    </row>
    <row r="168" spans="1:12" ht="12.75" customHeight="1" hidden="1">
      <c r="A168" s="487"/>
      <c r="B168" s="56"/>
      <c r="C168" s="79" t="e">
        <f>VLOOKUP($B168,'Іменні заявки'!$A:$J,2,FALSE)</f>
        <v>#N/A</v>
      </c>
      <c r="D168" s="80" t="e">
        <f>VLOOKUP($B168,'Іменні заявки'!$A:$J,3,FALSE)</f>
        <v>#N/A</v>
      </c>
      <c r="E168" s="81" t="e">
        <f>VLOOKUP($B168,'Іменні заявки'!$A:$J,4,FALSE)</f>
        <v>#N/A</v>
      </c>
      <c r="F168" s="508"/>
      <c r="G168" s="511"/>
      <c r="H168" s="514"/>
      <c r="I168" s="514"/>
      <c r="J168" s="514"/>
      <c r="K168" s="55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8" s="82" t="e">
        <f>VLOOKUP($B168,'Іменні заявки'!$A:$J,10,FALSE)</f>
        <v>#N/A</v>
      </c>
    </row>
    <row r="169" spans="1:12" ht="12.75" customHeight="1" hidden="1" thickBot="1">
      <c r="A169" s="506"/>
      <c r="B169" s="83"/>
      <c r="C169" s="84" t="e">
        <f>VLOOKUP($B169,'Іменні заявки'!$A:$J,2,FALSE)</f>
        <v>#N/A</v>
      </c>
      <c r="D169" s="85" t="e">
        <f>VLOOKUP($B169,'Іменні заявки'!$A:$J,3,FALSE)</f>
        <v>#N/A</v>
      </c>
      <c r="E169" s="86" t="e">
        <f>VLOOKUP($B169,'Іменні заявки'!$A:$J,4,FALSE)</f>
        <v>#N/A</v>
      </c>
      <c r="F169" s="509"/>
      <c r="G169" s="512"/>
      <c r="H169" s="515"/>
      <c r="I169" s="515"/>
      <c r="J169" s="515"/>
      <c r="K169" s="87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9" s="88" t="e">
        <f>VLOOKUP($B169,'Іменні заявки'!$A:$J,10,FALSE)</f>
        <v>#N/A</v>
      </c>
    </row>
    <row r="170" spans="1:12" ht="12.75" customHeight="1" hidden="1">
      <c r="A170" s="486">
        <v>27</v>
      </c>
      <c r="B170" s="54"/>
      <c r="C170" s="74" t="e">
        <f>VLOOKUP($B170,'Іменні заявки'!$A:$J,2,FALSE)</f>
        <v>#N/A</v>
      </c>
      <c r="D170" s="75" t="e">
        <f>VLOOKUP($B170,'Іменні заявки'!$A:$J,3,FALSE)</f>
        <v>#N/A</v>
      </c>
      <c r="E170" s="76" t="e">
        <f>VLOOKUP($B170,'Іменні заявки'!$A:$J,4,FALSE)</f>
        <v>#N/A</v>
      </c>
      <c r="F170" s="507" t="e">
        <f>VLOOKUP($B170-RIGHT($B170,1),'Прот.рез.Кр.-пох.'!$A:$AA,25,FALSE)</f>
        <v>#VALUE!</v>
      </c>
      <c r="G170" s="510" t="str">
        <f>IF(ISERROR($F170),"—",IF(OR(ISTEXT($F170),$F170=""),"—",IF(VLOOKUP($B170-RIGHT($B170,1),'Проток.рез.КСП'!A:Y,25,FALSE)&lt;&gt;"",VLOOKUP($B170-RIGHT($B170,1),'Проток.рез.КСП'!A:Y,25,FALSE),ROUND($F170/$F$14*100,2))))</f>
        <v>—</v>
      </c>
      <c r="H170" s="513" t="e">
        <f>VLOOKUP($B170,'Іменні заявки'!$A:$J,8,FALSE)</f>
        <v>#N/A</v>
      </c>
      <c r="I170" s="513" t="e">
        <f>VLOOKUP($B170,'Іменні заявки'!$A:$J,7,FALSE)</f>
        <v>#N/A</v>
      </c>
      <c r="J170" s="513" t="e">
        <f>VLOOKUP($B170,'Іменні заявки'!$A:$J,9,FALSE)</f>
        <v>#N/A</v>
      </c>
      <c r="K170" s="53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0" s="77" t="e">
        <f>VLOOKUP($B170,'Іменні заявки'!$A:$J,10,FALSE)</f>
        <v>#N/A</v>
      </c>
    </row>
    <row r="171" spans="1:12" ht="12.75" customHeight="1" hidden="1">
      <c r="A171" s="487"/>
      <c r="B171" s="56"/>
      <c r="C171" s="79" t="e">
        <f>VLOOKUP($B171,'Іменні заявки'!$A:$J,2,FALSE)</f>
        <v>#N/A</v>
      </c>
      <c r="D171" s="80" t="e">
        <f>VLOOKUP($B171,'Іменні заявки'!$A:$J,3,FALSE)</f>
        <v>#N/A</v>
      </c>
      <c r="E171" s="81" t="e">
        <f>VLOOKUP($B171,'Іменні заявки'!$A:$J,4,FALSE)</f>
        <v>#N/A</v>
      </c>
      <c r="F171" s="508"/>
      <c r="G171" s="511"/>
      <c r="H171" s="514"/>
      <c r="I171" s="514"/>
      <c r="J171" s="514"/>
      <c r="K171" s="55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1" s="82" t="e">
        <f>VLOOKUP($B171,'Іменні заявки'!$A:$J,10,FALSE)</f>
        <v>#N/A</v>
      </c>
    </row>
    <row r="172" spans="1:12" ht="12.75" customHeight="1" hidden="1">
      <c r="A172" s="487"/>
      <c r="B172" s="56"/>
      <c r="C172" s="79" t="e">
        <f>VLOOKUP($B172,'Іменні заявки'!$A:$J,2,FALSE)</f>
        <v>#N/A</v>
      </c>
      <c r="D172" s="80" t="e">
        <f>VLOOKUP($B172,'Іменні заявки'!$A:$J,3,FALSE)</f>
        <v>#N/A</v>
      </c>
      <c r="E172" s="81" t="e">
        <f>VLOOKUP($B172,'Іменні заявки'!$A:$J,4,FALSE)</f>
        <v>#N/A</v>
      </c>
      <c r="F172" s="508"/>
      <c r="G172" s="511"/>
      <c r="H172" s="514"/>
      <c r="I172" s="514"/>
      <c r="J172" s="514"/>
      <c r="K172" s="55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2" s="82" t="e">
        <f>VLOOKUP($B172,'Іменні заявки'!$A:$J,10,FALSE)</f>
        <v>#N/A</v>
      </c>
    </row>
    <row r="173" spans="1:12" ht="12.75" customHeight="1" hidden="1">
      <c r="A173" s="487"/>
      <c r="B173" s="56"/>
      <c r="C173" s="79" t="e">
        <f>VLOOKUP($B173,'Іменні заявки'!$A:$J,2,FALSE)</f>
        <v>#N/A</v>
      </c>
      <c r="D173" s="80" t="e">
        <f>VLOOKUP($B173,'Іменні заявки'!$A:$J,3,FALSE)</f>
        <v>#N/A</v>
      </c>
      <c r="E173" s="81" t="e">
        <f>VLOOKUP($B173,'Іменні заявки'!$A:$J,4,FALSE)</f>
        <v>#N/A</v>
      </c>
      <c r="F173" s="508"/>
      <c r="G173" s="511"/>
      <c r="H173" s="514"/>
      <c r="I173" s="514"/>
      <c r="J173" s="514"/>
      <c r="K173" s="55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3" s="82" t="e">
        <f>VLOOKUP($B173,'Іменні заявки'!$A:$J,10,FALSE)</f>
        <v>#N/A</v>
      </c>
    </row>
    <row r="174" spans="1:12" ht="12.75" customHeight="1" hidden="1">
      <c r="A174" s="487"/>
      <c r="B174" s="56"/>
      <c r="C174" s="79" t="e">
        <f>VLOOKUP($B174,'Іменні заявки'!$A:$J,2,FALSE)</f>
        <v>#N/A</v>
      </c>
      <c r="D174" s="80" t="e">
        <f>VLOOKUP($B174,'Іменні заявки'!$A:$J,3,FALSE)</f>
        <v>#N/A</v>
      </c>
      <c r="E174" s="81" t="e">
        <f>VLOOKUP($B174,'Іменні заявки'!$A:$J,4,FALSE)</f>
        <v>#N/A</v>
      </c>
      <c r="F174" s="508"/>
      <c r="G174" s="511"/>
      <c r="H174" s="514"/>
      <c r="I174" s="514"/>
      <c r="J174" s="514"/>
      <c r="K174" s="55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4" s="82" t="e">
        <f>VLOOKUP($B174,'Іменні заявки'!$A:$J,10,FALSE)</f>
        <v>#N/A</v>
      </c>
    </row>
    <row r="175" spans="1:12" ht="12.75" customHeight="1" hidden="1" thickBot="1">
      <c r="A175" s="506"/>
      <c r="B175" s="83"/>
      <c r="C175" s="84" t="e">
        <f>VLOOKUP($B175,'Іменні заявки'!$A:$J,2,FALSE)</f>
        <v>#N/A</v>
      </c>
      <c r="D175" s="85" t="e">
        <f>VLOOKUP($B175,'Іменні заявки'!$A:$J,3,FALSE)</f>
        <v>#N/A</v>
      </c>
      <c r="E175" s="86" t="e">
        <f>VLOOKUP($B175,'Іменні заявки'!$A:$J,4,FALSE)</f>
        <v>#N/A</v>
      </c>
      <c r="F175" s="509"/>
      <c r="G175" s="512"/>
      <c r="H175" s="515"/>
      <c r="I175" s="515"/>
      <c r="J175" s="515"/>
      <c r="K175" s="87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5" s="88" t="e">
        <f>VLOOKUP($B175,'Іменні заявки'!$A:$J,10,FALSE)</f>
        <v>#N/A</v>
      </c>
    </row>
    <row r="176" spans="4:15" ht="12.75">
      <c r="D176"/>
      <c r="E176"/>
      <c r="F176"/>
      <c r="G176"/>
      <c r="O176"/>
    </row>
    <row r="177" spans="1:15" ht="12.75">
      <c r="A177" s="158"/>
      <c r="B177" s="158"/>
      <c r="C177" s="158"/>
      <c r="D177" s="158"/>
      <c r="E177" s="357" t="s">
        <v>168</v>
      </c>
      <c r="F177" s="358"/>
      <c r="G177" s="359" t="s">
        <v>148</v>
      </c>
      <c r="H177" s="360" t="str">
        <f aca="true" t="shared" si="1" ref="H177:H182">IF(S14="—","—",ROUND(S14,2)&amp;" %")</f>
        <v>111,06 %</v>
      </c>
      <c r="I177" s="158"/>
      <c r="J177" s="158"/>
      <c r="K177" s="158"/>
      <c r="L177" s="158"/>
      <c r="O177"/>
    </row>
    <row r="178" spans="4:15" ht="12.75">
      <c r="D178"/>
      <c r="E178" s="141"/>
      <c r="F178" s="142"/>
      <c r="G178" s="143" t="s">
        <v>149</v>
      </c>
      <c r="H178" s="144" t="str">
        <f t="shared" si="1"/>
        <v>126,06 %</v>
      </c>
      <c r="O178"/>
    </row>
    <row r="179" spans="4:15" ht="12.75">
      <c r="D179"/>
      <c r="E179" s="145"/>
      <c r="F179" s="142"/>
      <c r="G179" s="143" t="s">
        <v>150</v>
      </c>
      <c r="H179" s="144" t="str">
        <f t="shared" si="1"/>
        <v>146,08 %</v>
      </c>
      <c r="O179"/>
    </row>
    <row r="180" spans="4:15" ht="12.75">
      <c r="D180"/>
      <c r="E180" s="145"/>
      <c r="F180" s="142"/>
      <c r="G180" s="143" t="s">
        <v>151</v>
      </c>
      <c r="H180" s="144" t="str">
        <f t="shared" si="1"/>
        <v>—</v>
      </c>
      <c r="O180"/>
    </row>
    <row r="181" spans="1:15" ht="12.75" hidden="1">
      <c r="A181" s="160"/>
      <c r="B181" s="160"/>
      <c r="C181" s="160"/>
      <c r="D181" s="160"/>
      <c r="E181" s="165"/>
      <c r="F181" s="162"/>
      <c r="G181" s="163" t="s">
        <v>152</v>
      </c>
      <c r="H181" s="164" t="str">
        <f t="shared" si="1"/>
        <v>—</v>
      </c>
      <c r="I181" s="160"/>
      <c r="J181" s="160"/>
      <c r="K181" s="160"/>
      <c r="L181" s="160"/>
      <c r="O181"/>
    </row>
    <row r="182" spans="1:15" ht="12.75" hidden="1">
      <c r="A182" s="160"/>
      <c r="B182" s="160"/>
      <c r="C182" s="160"/>
      <c r="D182" s="160"/>
      <c r="E182" s="165"/>
      <c r="F182" s="162"/>
      <c r="G182" s="163" t="s">
        <v>153</v>
      </c>
      <c r="H182" s="164" t="str">
        <f t="shared" si="1"/>
        <v>—</v>
      </c>
      <c r="I182" s="160"/>
      <c r="J182" s="160"/>
      <c r="K182" s="160"/>
      <c r="L182" s="160"/>
      <c r="O182"/>
    </row>
    <row r="183" spans="4:15" ht="12.75">
      <c r="D183"/>
      <c r="E183"/>
      <c r="F183"/>
      <c r="G183"/>
      <c r="O183"/>
    </row>
    <row r="184" spans="3:15" ht="12.75">
      <c r="C184" t="str">
        <f>"Головний суддя _________________ "&amp;'Іменні заявки'!$C$6</f>
        <v>Головний суддя _________________ Гринчук В.В.</v>
      </c>
      <c r="D184"/>
      <c r="E184"/>
      <c r="F184"/>
      <c r="G184"/>
      <c r="H184" t="str">
        <f>"Головний секретар _________________ "&amp;'Іменні заявки'!$C$7</f>
        <v>Головний секретар _________________ Кіретова І.О.</v>
      </c>
      <c r="O184"/>
    </row>
    <row r="185" spans="4:15" ht="12.75">
      <c r="D185" s="247" t="s">
        <v>345</v>
      </c>
      <c r="E185"/>
      <c r="F185"/>
      <c r="G185"/>
      <c r="K185" s="247" t="s">
        <v>346</v>
      </c>
      <c r="O185"/>
    </row>
    <row r="186" spans="4:15" ht="12.75">
      <c r="D186" s="247"/>
      <c r="E186"/>
      <c r="F186"/>
      <c r="G186"/>
      <c r="I186" s="247"/>
      <c r="O186"/>
    </row>
    <row r="187" spans="4:15" ht="12.75">
      <c r="D187"/>
      <c r="E187"/>
      <c r="F187" s="146" t="s">
        <v>207</v>
      </c>
      <c r="G187"/>
      <c r="H187" t="s">
        <v>154</v>
      </c>
      <c r="I187" s="3" t="s">
        <v>323</v>
      </c>
      <c r="O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15" ht="12.75">
      <c r="D197"/>
      <c r="E197"/>
      <c r="F197"/>
      <c r="G197"/>
      <c r="O197"/>
    </row>
    <row r="198" spans="4:15" ht="12.75">
      <c r="D198"/>
      <c r="E198"/>
      <c r="F198"/>
      <c r="G198"/>
      <c r="O198"/>
    </row>
    <row r="199" spans="4:15" ht="12.75">
      <c r="D199"/>
      <c r="E199"/>
      <c r="F199"/>
      <c r="G199"/>
      <c r="O199"/>
    </row>
    <row r="200" spans="4:15" ht="12.75">
      <c r="D200"/>
      <c r="E200"/>
      <c r="F200"/>
      <c r="G200"/>
      <c r="O200"/>
    </row>
    <row r="201" spans="4:15" ht="12.75">
      <c r="D201"/>
      <c r="E201"/>
      <c r="F201"/>
      <c r="G201"/>
      <c r="O201"/>
    </row>
    <row r="202" spans="4:15" ht="12.75">
      <c r="D202"/>
      <c r="E202"/>
      <c r="F202"/>
      <c r="G202"/>
      <c r="O202"/>
    </row>
    <row r="203" spans="4:15" ht="12.75">
      <c r="D203"/>
      <c r="E203"/>
      <c r="F203"/>
      <c r="G203"/>
      <c r="O203"/>
    </row>
    <row r="204" spans="4:15" ht="12.75">
      <c r="D204"/>
      <c r="E204"/>
      <c r="F204"/>
      <c r="G204"/>
      <c r="O204"/>
    </row>
    <row r="205" spans="4:15" ht="12.75">
      <c r="D205"/>
      <c r="E205"/>
      <c r="F205"/>
      <c r="G205"/>
      <c r="O205"/>
    </row>
    <row r="206" spans="4:15" ht="12.75">
      <c r="D206"/>
      <c r="E206"/>
      <c r="F206"/>
      <c r="G206"/>
      <c r="O206"/>
    </row>
    <row r="207" spans="4:15" ht="12.75">
      <c r="D207"/>
      <c r="E207"/>
      <c r="F207"/>
      <c r="G207"/>
      <c r="O207"/>
    </row>
    <row r="208" spans="4:15" ht="12.75">
      <c r="D208"/>
      <c r="E208"/>
      <c r="F208"/>
      <c r="G208"/>
      <c r="O208"/>
    </row>
    <row r="209" spans="4:15" ht="12.75">
      <c r="D209"/>
      <c r="E209"/>
      <c r="F209"/>
      <c r="G209"/>
      <c r="O209"/>
    </row>
    <row r="210" spans="4:15" ht="12.75">
      <c r="D210"/>
      <c r="E210"/>
      <c r="F210"/>
      <c r="G210"/>
      <c r="O210"/>
    </row>
    <row r="211" spans="4:15" ht="12.75">
      <c r="D211"/>
      <c r="E211"/>
      <c r="F211"/>
      <c r="G211"/>
      <c r="O211"/>
    </row>
    <row r="212" spans="4:15" ht="12.75">
      <c r="D212"/>
      <c r="E212"/>
      <c r="F212"/>
      <c r="G212"/>
      <c r="O212"/>
    </row>
    <row r="213" spans="4:15" ht="12.75">
      <c r="D213"/>
      <c r="E213"/>
      <c r="F213"/>
      <c r="G213"/>
      <c r="O213"/>
    </row>
    <row r="214" spans="4:15" ht="12.75">
      <c r="D214"/>
      <c r="E214"/>
      <c r="F214"/>
      <c r="G214"/>
      <c r="O214"/>
    </row>
    <row r="215" spans="4:15" ht="12.75">
      <c r="D215"/>
      <c r="E215"/>
      <c r="F215"/>
      <c r="G215"/>
      <c r="O215"/>
    </row>
    <row r="216" spans="4:15" ht="12.75">
      <c r="D216"/>
      <c r="E216"/>
      <c r="F216"/>
      <c r="G216"/>
      <c r="O216"/>
    </row>
    <row r="217" spans="4:15" ht="12.75">
      <c r="D217"/>
      <c r="E217"/>
      <c r="F217"/>
      <c r="G217"/>
      <c r="O217"/>
    </row>
    <row r="218" spans="4:15" ht="12.75">
      <c r="D218"/>
      <c r="E218"/>
      <c r="F218"/>
      <c r="G218"/>
      <c r="O218"/>
    </row>
    <row r="219" spans="4:15" ht="12.75">
      <c r="D219"/>
      <c r="E219"/>
      <c r="F219"/>
      <c r="G219"/>
      <c r="O219"/>
    </row>
    <row r="220" spans="4:15" ht="12.75">
      <c r="D220"/>
      <c r="E220"/>
      <c r="F220"/>
      <c r="G220"/>
      <c r="O220"/>
    </row>
    <row r="221" spans="4:15" ht="12.75">
      <c r="D221"/>
      <c r="E221"/>
      <c r="F221"/>
      <c r="G221"/>
      <c r="O221"/>
    </row>
    <row r="222" spans="4:15" ht="12.75">
      <c r="D222"/>
      <c r="E222"/>
      <c r="F222"/>
      <c r="G222"/>
      <c r="O222"/>
    </row>
    <row r="223" spans="4:15" ht="12.75">
      <c r="D223"/>
      <c r="E223"/>
      <c r="F223"/>
      <c r="G223"/>
      <c r="O223"/>
    </row>
    <row r="224" spans="4:15" ht="12.75">
      <c r="D224"/>
      <c r="E224"/>
      <c r="F224"/>
      <c r="G224"/>
      <c r="O224"/>
    </row>
    <row r="225" spans="4:15" ht="12.75">
      <c r="D225"/>
      <c r="E225"/>
      <c r="F225"/>
      <c r="G225"/>
      <c r="O225"/>
    </row>
    <row r="226" spans="4:15" ht="12.75">
      <c r="D226"/>
      <c r="E226"/>
      <c r="F226"/>
      <c r="G226"/>
      <c r="O226"/>
    </row>
    <row r="227" spans="4:15" ht="12.75">
      <c r="D227"/>
      <c r="E227"/>
      <c r="F227"/>
      <c r="G227"/>
      <c r="O227"/>
    </row>
    <row r="228" spans="4:15" ht="12.75">
      <c r="D228"/>
      <c r="E228"/>
      <c r="F228"/>
      <c r="G228"/>
      <c r="O228"/>
    </row>
    <row r="229" spans="4:15" ht="12.75">
      <c r="D229"/>
      <c r="E229"/>
      <c r="F229"/>
      <c r="G229"/>
      <c r="O229"/>
    </row>
    <row r="230" spans="4:15" ht="12.75">
      <c r="D230"/>
      <c r="E230"/>
      <c r="F230"/>
      <c r="G230"/>
      <c r="O230"/>
    </row>
    <row r="231" spans="4:15" ht="12.75">
      <c r="D231"/>
      <c r="E231"/>
      <c r="F231"/>
      <c r="G231"/>
      <c r="O231"/>
    </row>
    <row r="232" spans="4:15" ht="12.75">
      <c r="D232"/>
      <c r="E232"/>
      <c r="F232"/>
      <c r="G232"/>
      <c r="O232"/>
    </row>
    <row r="233" spans="4:15" ht="12.75">
      <c r="D233"/>
      <c r="E233"/>
      <c r="F233"/>
      <c r="G233"/>
      <c r="O233"/>
    </row>
    <row r="234" spans="4:15" ht="12.75">
      <c r="D234"/>
      <c r="E234"/>
      <c r="F234"/>
      <c r="G234"/>
      <c r="O234"/>
    </row>
    <row r="235" spans="4:15" ht="12.75">
      <c r="D235"/>
      <c r="E235"/>
      <c r="F235"/>
      <c r="G235"/>
      <c r="O235"/>
    </row>
    <row r="236" spans="4:15" ht="12.75">
      <c r="D236"/>
      <c r="E236"/>
      <c r="F236"/>
      <c r="G236"/>
      <c r="O236"/>
    </row>
    <row r="237" spans="4:15" ht="12.75">
      <c r="D237"/>
      <c r="E237"/>
      <c r="F237"/>
      <c r="G237"/>
      <c r="O237"/>
    </row>
    <row r="238" spans="4:15" ht="12.75">
      <c r="D238"/>
      <c r="E238"/>
      <c r="F238"/>
      <c r="G238"/>
      <c r="O238"/>
    </row>
    <row r="239" spans="4:15" ht="12.75">
      <c r="D239"/>
      <c r="E239"/>
      <c r="F239"/>
      <c r="G239"/>
      <c r="O239"/>
    </row>
    <row r="240" spans="4:15" ht="12.75">
      <c r="D240"/>
      <c r="E240"/>
      <c r="F240"/>
      <c r="G240"/>
      <c r="O240"/>
    </row>
    <row r="241" spans="4:15" ht="12.75">
      <c r="D241"/>
      <c r="E241"/>
      <c r="F241"/>
      <c r="G241"/>
      <c r="O241"/>
    </row>
    <row r="242" spans="4:15" ht="12.75">
      <c r="D242"/>
      <c r="E242"/>
      <c r="F242"/>
      <c r="G242"/>
      <c r="O242"/>
    </row>
    <row r="243" spans="4:15" ht="12.75">
      <c r="D243"/>
      <c r="E243"/>
      <c r="F243"/>
      <c r="G243"/>
      <c r="O243"/>
    </row>
    <row r="244" spans="4:15" ht="12.75">
      <c r="D244"/>
      <c r="E244"/>
      <c r="F244"/>
      <c r="G244"/>
      <c r="O244"/>
    </row>
    <row r="245" spans="4:15" ht="12.75">
      <c r="D245"/>
      <c r="E245"/>
      <c r="F245"/>
      <c r="G245"/>
      <c r="O245"/>
    </row>
    <row r="246" spans="4:15" ht="12.75">
      <c r="D246"/>
      <c r="E246"/>
      <c r="F246"/>
      <c r="G246"/>
      <c r="O246"/>
    </row>
    <row r="247" spans="4:15" ht="12.75">
      <c r="D247"/>
      <c r="E247"/>
      <c r="F247"/>
      <c r="G247"/>
      <c r="O247"/>
    </row>
    <row r="248" spans="4:15" ht="12.75">
      <c r="D248"/>
      <c r="E248"/>
      <c r="F248"/>
      <c r="G248"/>
      <c r="O248"/>
    </row>
    <row r="249" spans="4:15" ht="12.75">
      <c r="D249"/>
      <c r="E249"/>
      <c r="F249"/>
      <c r="G249"/>
      <c r="O249"/>
    </row>
    <row r="250" spans="4:15" ht="12.75">
      <c r="D250"/>
      <c r="E250"/>
      <c r="F250"/>
      <c r="G250"/>
      <c r="O250"/>
    </row>
    <row r="251" spans="4:15" ht="12.75">
      <c r="D251"/>
      <c r="E251"/>
      <c r="F251"/>
      <c r="G251"/>
      <c r="O251"/>
    </row>
    <row r="252" spans="4:15" ht="12.75">
      <c r="D252"/>
      <c r="E252"/>
      <c r="F252"/>
      <c r="G252"/>
      <c r="O252"/>
    </row>
    <row r="253" spans="4:15" ht="12.75">
      <c r="D253"/>
      <c r="E253"/>
      <c r="F253"/>
      <c r="G253"/>
      <c r="O253"/>
    </row>
    <row r="254" spans="4:15" ht="12.75">
      <c r="D254"/>
      <c r="E254"/>
      <c r="F254"/>
      <c r="G254"/>
      <c r="O254"/>
    </row>
    <row r="255" spans="4:15" ht="12.75">
      <c r="D255"/>
      <c r="E255"/>
      <c r="F255"/>
      <c r="G255"/>
      <c r="O255"/>
    </row>
    <row r="256" spans="4:15" ht="12.75">
      <c r="D256"/>
      <c r="E256"/>
      <c r="F256"/>
      <c r="G256"/>
      <c r="O256"/>
    </row>
    <row r="257" spans="4:15" ht="12.75">
      <c r="D257"/>
      <c r="E257"/>
      <c r="F257"/>
      <c r="G257"/>
      <c r="O257"/>
    </row>
    <row r="258" spans="4:15" ht="12.75">
      <c r="D258"/>
      <c r="E258"/>
      <c r="F258"/>
      <c r="G258"/>
      <c r="O258"/>
    </row>
    <row r="259" spans="4:15" ht="12.75">
      <c r="D259"/>
      <c r="E259"/>
      <c r="F259"/>
      <c r="G259"/>
      <c r="O259"/>
    </row>
    <row r="260" spans="4:15" ht="12.75">
      <c r="D260"/>
      <c r="E260"/>
      <c r="F260"/>
      <c r="G260"/>
      <c r="O260"/>
    </row>
    <row r="261" spans="4:15" ht="12.75">
      <c r="D261"/>
      <c r="E261"/>
      <c r="F261"/>
      <c r="G261"/>
      <c r="O261"/>
    </row>
    <row r="262" spans="4:15" ht="12.75">
      <c r="D262"/>
      <c r="E262"/>
      <c r="F262"/>
      <c r="G262"/>
      <c r="O262"/>
    </row>
    <row r="263" spans="4:15" ht="12.75">
      <c r="D263"/>
      <c r="E263"/>
      <c r="F263"/>
      <c r="G263"/>
      <c r="O263"/>
    </row>
    <row r="264" spans="4:15" ht="12.75">
      <c r="D264"/>
      <c r="E264"/>
      <c r="F264"/>
      <c r="G264"/>
      <c r="O264"/>
    </row>
    <row r="265" spans="4:15" ht="12.75">
      <c r="D265"/>
      <c r="E265"/>
      <c r="F265"/>
      <c r="G265"/>
      <c r="O265"/>
    </row>
    <row r="266" spans="4:15" ht="12.75">
      <c r="D266"/>
      <c r="E266"/>
      <c r="F266"/>
      <c r="G266"/>
      <c r="O266"/>
    </row>
    <row r="267" spans="4:15" ht="12.75">
      <c r="D267"/>
      <c r="E267"/>
      <c r="F267"/>
      <c r="G267"/>
      <c r="O267"/>
    </row>
    <row r="268" spans="4:15" ht="12.75">
      <c r="D268"/>
      <c r="E268"/>
      <c r="F268"/>
      <c r="G268"/>
      <c r="O268"/>
    </row>
    <row r="269" spans="4:15" ht="12.75">
      <c r="D269"/>
      <c r="E269"/>
      <c r="F269"/>
      <c r="G269"/>
      <c r="O269"/>
    </row>
    <row r="270" spans="4:15" ht="12.75">
      <c r="D270"/>
      <c r="E270"/>
      <c r="F270"/>
      <c r="G270"/>
      <c r="O270"/>
    </row>
    <row r="271" spans="4:15" ht="12.75">
      <c r="D271"/>
      <c r="E271"/>
      <c r="F271"/>
      <c r="G271"/>
      <c r="O271"/>
    </row>
    <row r="272" spans="4:15" ht="12.75">
      <c r="D272"/>
      <c r="E272"/>
      <c r="F272"/>
      <c r="G272"/>
      <c r="O272"/>
    </row>
    <row r="273" spans="4:15" ht="12.75">
      <c r="D273"/>
      <c r="E273"/>
      <c r="F273"/>
      <c r="G273"/>
      <c r="O273"/>
    </row>
    <row r="274" spans="4:15" ht="12.75">
      <c r="D274"/>
      <c r="E274"/>
      <c r="F274"/>
      <c r="G274"/>
      <c r="O274"/>
    </row>
    <row r="275" spans="4:15" ht="12.75">
      <c r="D275"/>
      <c r="E275"/>
      <c r="F275"/>
      <c r="G275"/>
      <c r="O275"/>
    </row>
    <row r="276" spans="4:15" ht="12.75">
      <c r="D276"/>
      <c r="E276"/>
      <c r="F276"/>
      <c r="G276"/>
      <c r="O276"/>
    </row>
    <row r="277" spans="4:15" ht="12.75">
      <c r="D277"/>
      <c r="E277"/>
      <c r="F277"/>
      <c r="G277"/>
      <c r="O277"/>
    </row>
    <row r="278" spans="4:15" ht="12.75">
      <c r="D278"/>
      <c r="E278"/>
      <c r="F278"/>
      <c r="G278"/>
      <c r="O278"/>
    </row>
    <row r="279" spans="4:15" ht="12.75">
      <c r="D279"/>
      <c r="E279"/>
      <c r="F279"/>
      <c r="G279"/>
      <c r="O279"/>
    </row>
    <row r="280" spans="4:15" ht="12.75">
      <c r="D280"/>
      <c r="E280"/>
      <c r="F280"/>
      <c r="G280"/>
      <c r="O280"/>
    </row>
    <row r="281" spans="4:15" ht="12.75">
      <c r="D281"/>
      <c r="E281"/>
      <c r="F281"/>
      <c r="G281"/>
      <c r="O281"/>
    </row>
    <row r="282" spans="4:15" ht="12.75">
      <c r="D282"/>
      <c r="E282"/>
      <c r="F282"/>
      <c r="G282"/>
      <c r="O282"/>
    </row>
    <row r="283" spans="4:15" ht="12.75">
      <c r="D283"/>
      <c r="E283"/>
      <c r="F283"/>
      <c r="G283"/>
      <c r="O283"/>
    </row>
    <row r="284" spans="4:15" ht="12.75">
      <c r="D284"/>
      <c r="E284"/>
      <c r="F284"/>
      <c r="G284"/>
      <c r="O284"/>
    </row>
    <row r="285" spans="4:15" ht="12.75">
      <c r="D285"/>
      <c r="E285"/>
      <c r="F285"/>
      <c r="G285"/>
      <c r="O285"/>
    </row>
    <row r="286" spans="4:15" ht="12.75">
      <c r="D286"/>
      <c r="E286"/>
      <c r="F286"/>
      <c r="G286"/>
      <c r="O286"/>
    </row>
    <row r="287" spans="4:15" ht="12.75">
      <c r="D287"/>
      <c r="E287"/>
      <c r="F287"/>
      <c r="G287"/>
      <c r="O287"/>
    </row>
    <row r="288" spans="4:15" ht="12.75">
      <c r="D288"/>
      <c r="E288"/>
      <c r="F288"/>
      <c r="G288"/>
      <c r="O288"/>
    </row>
    <row r="289" spans="4:15" ht="12.75">
      <c r="D289"/>
      <c r="E289"/>
      <c r="F289"/>
      <c r="G289"/>
      <c r="O289"/>
    </row>
    <row r="290" spans="4:15" ht="12.75">
      <c r="D290"/>
      <c r="E290"/>
      <c r="F290"/>
      <c r="G290"/>
      <c r="O290"/>
    </row>
    <row r="291" spans="4:15" ht="12.75">
      <c r="D291"/>
      <c r="E291"/>
      <c r="F291"/>
      <c r="G291"/>
      <c r="O291"/>
    </row>
    <row r="292" spans="4:15" ht="12.75">
      <c r="D292"/>
      <c r="E292"/>
      <c r="F292"/>
      <c r="G292"/>
      <c r="O292"/>
    </row>
    <row r="293" spans="4:15" ht="12.75">
      <c r="D293"/>
      <c r="E293"/>
      <c r="F293"/>
      <c r="G293"/>
      <c r="O293"/>
    </row>
    <row r="294" spans="4:15" ht="12.75">
      <c r="D294"/>
      <c r="E294"/>
      <c r="F294"/>
      <c r="G294"/>
      <c r="O294"/>
    </row>
    <row r="295" spans="4:15" ht="12.75">
      <c r="D295"/>
      <c r="E295"/>
      <c r="F295"/>
      <c r="G295"/>
      <c r="O295"/>
    </row>
    <row r="296" spans="4:15" ht="12.75">
      <c r="D296"/>
      <c r="E296"/>
      <c r="F296"/>
      <c r="G296"/>
      <c r="O296"/>
    </row>
    <row r="297" spans="4:15" ht="12.75">
      <c r="D297"/>
      <c r="E297"/>
      <c r="F297"/>
      <c r="G297"/>
      <c r="O297"/>
    </row>
    <row r="298" spans="4:15" ht="12.75">
      <c r="D298"/>
      <c r="E298"/>
      <c r="F298"/>
      <c r="G298"/>
      <c r="O298"/>
    </row>
    <row r="299" spans="4:15" ht="12.75">
      <c r="D299"/>
      <c r="E299"/>
      <c r="F299"/>
      <c r="G299"/>
      <c r="O299"/>
    </row>
    <row r="300" spans="4:15" ht="12.75">
      <c r="D300"/>
      <c r="E300"/>
      <c r="F300"/>
      <c r="G300"/>
      <c r="O300"/>
    </row>
    <row r="301" spans="4:15" ht="12.75">
      <c r="D301"/>
      <c r="E301"/>
      <c r="F301"/>
      <c r="G301"/>
      <c r="O301"/>
    </row>
    <row r="302" spans="4:15" ht="12.75">
      <c r="D302"/>
      <c r="E302"/>
      <c r="F302"/>
      <c r="G302"/>
      <c r="O302"/>
    </row>
    <row r="303" spans="4:15" ht="12.75">
      <c r="D303"/>
      <c r="E303"/>
      <c r="F303"/>
      <c r="G303"/>
      <c r="O303"/>
    </row>
    <row r="304" spans="4:15" ht="12.75">
      <c r="D304"/>
      <c r="E304"/>
      <c r="F304"/>
      <c r="G304"/>
      <c r="O304"/>
    </row>
    <row r="305" spans="4:15" ht="12.75">
      <c r="D305"/>
      <c r="E305"/>
      <c r="F305"/>
      <c r="G305"/>
      <c r="O305"/>
    </row>
    <row r="306" spans="4:15" ht="12.75">
      <c r="D306"/>
      <c r="E306"/>
      <c r="F306"/>
      <c r="G306"/>
      <c r="O306"/>
    </row>
    <row r="307" spans="4:15" ht="12.75">
      <c r="D307"/>
      <c r="E307"/>
      <c r="F307"/>
      <c r="G307"/>
      <c r="O307"/>
    </row>
    <row r="308" spans="4:15" ht="12.75">
      <c r="D308"/>
      <c r="E308"/>
      <c r="F308"/>
      <c r="G308"/>
      <c r="O308"/>
    </row>
    <row r="309" spans="4:15" ht="12.75">
      <c r="D309"/>
      <c r="E309"/>
      <c r="F309"/>
      <c r="G309"/>
      <c r="O309"/>
    </row>
    <row r="310" spans="4:15" ht="12.75">
      <c r="D310"/>
      <c r="E310"/>
      <c r="F310"/>
      <c r="G310"/>
      <c r="O310"/>
    </row>
    <row r="311" spans="4:15" ht="12.75">
      <c r="D311"/>
      <c r="E311"/>
      <c r="F311"/>
      <c r="G311"/>
      <c r="O311"/>
    </row>
    <row r="312" spans="4:15" ht="12.75">
      <c r="D312"/>
      <c r="E312"/>
      <c r="F312"/>
      <c r="G312"/>
      <c r="O312"/>
    </row>
    <row r="313" spans="4:15" ht="12.75">
      <c r="D313"/>
      <c r="E313"/>
      <c r="F313"/>
      <c r="G313"/>
      <c r="O313"/>
    </row>
    <row r="314" spans="4:15" ht="12.75">
      <c r="D314"/>
      <c r="E314"/>
      <c r="F314"/>
      <c r="G314"/>
      <c r="O314"/>
    </row>
    <row r="315" spans="4:15" ht="12.75">
      <c r="D315"/>
      <c r="E315"/>
      <c r="F315"/>
      <c r="G315"/>
      <c r="O315"/>
    </row>
    <row r="316" spans="4:15" ht="12.75">
      <c r="D316"/>
      <c r="E316"/>
      <c r="F316"/>
      <c r="G316"/>
      <c r="O316"/>
    </row>
    <row r="317" spans="4:15" ht="12.75">
      <c r="D317"/>
      <c r="E317"/>
      <c r="F317"/>
      <c r="G317"/>
      <c r="O317"/>
    </row>
    <row r="318" spans="4:15" ht="12.75">
      <c r="D318"/>
      <c r="E318"/>
      <c r="F318"/>
      <c r="G318"/>
      <c r="O318"/>
    </row>
    <row r="319" spans="4:15" ht="12.75">
      <c r="D319"/>
      <c r="E319"/>
      <c r="F319"/>
      <c r="G319"/>
      <c r="O319"/>
    </row>
    <row r="320" spans="4:15" ht="12.75">
      <c r="D320"/>
      <c r="E320"/>
      <c r="F320"/>
      <c r="G320"/>
      <c r="O320"/>
    </row>
    <row r="321" spans="4:15" ht="12.75">
      <c r="D321"/>
      <c r="E321"/>
      <c r="F321"/>
      <c r="G321"/>
      <c r="O321"/>
    </row>
    <row r="322" spans="4:15" ht="12.75">
      <c r="D322"/>
      <c r="E322"/>
      <c r="F322"/>
      <c r="G322"/>
      <c r="O322"/>
    </row>
    <row r="323" spans="4:15" ht="12.75">
      <c r="D323"/>
      <c r="E323"/>
      <c r="F323"/>
      <c r="G323"/>
      <c r="O323"/>
    </row>
    <row r="324" spans="4:15" ht="12.75">
      <c r="D324"/>
      <c r="E324"/>
      <c r="F324"/>
      <c r="G324"/>
      <c r="O324"/>
    </row>
    <row r="325" spans="4:15" ht="12.75">
      <c r="D325"/>
      <c r="E325"/>
      <c r="F325"/>
      <c r="G325"/>
      <c r="O325"/>
    </row>
    <row r="326" spans="4:15" ht="12.75">
      <c r="D326"/>
      <c r="E326"/>
      <c r="F326"/>
      <c r="G326"/>
      <c r="O326"/>
    </row>
    <row r="327" spans="4:15" ht="12.75">
      <c r="D327"/>
      <c r="E327"/>
      <c r="F327"/>
      <c r="G327"/>
      <c r="O327"/>
    </row>
    <row r="328" spans="4:15" ht="12.75">
      <c r="D328"/>
      <c r="E328"/>
      <c r="F328"/>
      <c r="G328"/>
      <c r="O328"/>
    </row>
    <row r="329" spans="4:15" ht="12.75">
      <c r="D329"/>
      <c r="E329"/>
      <c r="F329"/>
      <c r="G329"/>
      <c r="O329"/>
    </row>
    <row r="330" spans="4:15" ht="12.75">
      <c r="D330"/>
      <c r="E330"/>
      <c r="F330"/>
      <c r="G330"/>
      <c r="O330"/>
    </row>
    <row r="331" spans="4:15" ht="12.75">
      <c r="D331"/>
      <c r="E331"/>
      <c r="F331"/>
      <c r="G331"/>
      <c r="O331"/>
    </row>
    <row r="332" spans="4:15" ht="12.75">
      <c r="D332"/>
      <c r="E332"/>
      <c r="F332"/>
      <c r="G332"/>
      <c r="O332"/>
    </row>
    <row r="333" spans="4:15" ht="12.75">
      <c r="D333"/>
      <c r="E333"/>
      <c r="F333"/>
      <c r="G333"/>
      <c r="O333"/>
    </row>
    <row r="334" spans="4:15" ht="12.75">
      <c r="D334"/>
      <c r="E334"/>
      <c r="F334"/>
      <c r="G334"/>
      <c r="O334"/>
    </row>
    <row r="335" spans="4:15" ht="12.75">
      <c r="D335"/>
      <c r="E335"/>
      <c r="F335"/>
      <c r="G335"/>
      <c r="O335"/>
    </row>
    <row r="336" spans="4:15" ht="12.75">
      <c r="D336"/>
      <c r="E336"/>
      <c r="F336"/>
      <c r="G336"/>
      <c r="O336"/>
    </row>
    <row r="337" spans="4:15" ht="12.75">
      <c r="D337"/>
      <c r="E337"/>
      <c r="F337"/>
      <c r="G337"/>
      <c r="O337"/>
    </row>
    <row r="338" spans="4:15" ht="12.75">
      <c r="D338"/>
      <c r="E338"/>
      <c r="F338"/>
      <c r="G338"/>
      <c r="O338"/>
    </row>
    <row r="339" spans="4:15" ht="12.75">
      <c r="D339"/>
      <c r="E339"/>
      <c r="F339"/>
      <c r="G339"/>
      <c r="O339"/>
    </row>
    <row r="340" spans="4:15" ht="12.75">
      <c r="D340"/>
      <c r="E340"/>
      <c r="F340"/>
      <c r="G340"/>
      <c r="O340"/>
    </row>
    <row r="341" spans="4:15" ht="12.75">
      <c r="D341"/>
      <c r="E341"/>
      <c r="F341"/>
      <c r="G341"/>
      <c r="O341"/>
    </row>
    <row r="342" spans="4:15" ht="12.75">
      <c r="D342"/>
      <c r="E342"/>
      <c r="F342"/>
      <c r="G342"/>
      <c r="O342"/>
    </row>
    <row r="343" spans="4:15" ht="12.75">
      <c r="D343"/>
      <c r="E343"/>
      <c r="F343"/>
      <c r="G343"/>
      <c r="O343"/>
    </row>
    <row r="344" spans="4:15" ht="12.75">
      <c r="D344"/>
      <c r="E344"/>
      <c r="F344"/>
      <c r="G344"/>
      <c r="O344"/>
    </row>
    <row r="345" spans="4:15" ht="12.75">
      <c r="D345"/>
      <c r="E345"/>
      <c r="F345"/>
      <c r="G345"/>
      <c r="O345"/>
    </row>
    <row r="346" spans="4:15" ht="12.75">
      <c r="D346"/>
      <c r="E346"/>
      <c r="F346"/>
      <c r="G346"/>
      <c r="O346"/>
    </row>
    <row r="347" spans="4:15" ht="12.75">
      <c r="D347"/>
      <c r="E347"/>
      <c r="F347"/>
      <c r="G347"/>
      <c r="O347"/>
    </row>
    <row r="348" spans="4:15" ht="12.75">
      <c r="D348"/>
      <c r="E348"/>
      <c r="F348"/>
      <c r="G348"/>
      <c r="O348"/>
    </row>
    <row r="349" spans="4:15" ht="12.75">
      <c r="D349"/>
      <c r="E349"/>
      <c r="F349"/>
      <c r="G349"/>
      <c r="O349"/>
    </row>
    <row r="350" spans="4:15" ht="12.75">
      <c r="D350"/>
      <c r="E350"/>
      <c r="F350"/>
      <c r="G350"/>
      <c r="O350"/>
    </row>
    <row r="351" spans="4:15" ht="12.75">
      <c r="D351"/>
      <c r="E351"/>
      <c r="F351"/>
      <c r="G351"/>
      <c r="O351"/>
    </row>
    <row r="352" spans="4:15" ht="12.75">
      <c r="D352"/>
      <c r="E352"/>
      <c r="F352"/>
      <c r="G352"/>
      <c r="O352"/>
    </row>
    <row r="353" spans="4:15" ht="12.75">
      <c r="D353"/>
      <c r="E353"/>
      <c r="F353"/>
      <c r="G353"/>
      <c r="O353"/>
    </row>
    <row r="354" spans="4:15" ht="12.75">
      <c r="D354"/>
      <c r="E354"/>
      <c r="F354"/>
      <c r="G354"/>
      <c r="O354"/>
    </row>
    <row r="355" spans="4:15" ht="12.75">
      <c r="D355"/>
      <c r="E355"/>
      <c r="F355"/>
      <c r="G355"/>
      <c r="O355"/>
    </row>
    <row r="356" spans="4:15" ht="12.75">
      <c r="D356"/>
      <c r="E356"/>
      <c r="F356"/>
      <c r="G356"/>
      <c r="O356"/>
    </row>
    <row r="357" spans="4:15" ht="12.75">
      <c r="D357"/>
      <c r="E357"/>
      <c r="F357"/>
      <c r="G357"/>
      <c r="O357"/>
    </row>
    <row r="358" spans="4:15" ht="12.75">
      <c r="D358"/>
      <c r="E358"/>
      <c r="F358"/>
      <c r="G358"/>
      <c r="O358"/>
    </row>
    <row r="359" spans="4:15" ht="12.75">
      <c r="D359"/>
      <c r="E359"/>
      <c r="F359"/>
      <c r="G359"/>
      <c r="O359"/>
    </row>
    <row r="360" spans="4:15" ht="12.75">
      <c r="D360"/>
      <c r="E360"/>
      <c r="F360"/>
      <c r="G360"/>
      <c r="O360"/>
    </row>
    <row r="361" spans="4:15" ht="12.75">
      <c r="D361"/>
      <c r="E361"/>
      <c r="F361"/>
      <c r="G361"/>
      <c r="O361"/>
    </row>
    <row r="362" spans="4:15" ht="12.75">
      <c r="D362"/>
      <c r="E362"/>
      <c r="F362"/>
      <c r="G362"/>
      <c r="O362"/>
    </row>
    <row r="363" spans="4:15" ht="12.75">
      <c r="D363"/>
      <c r="E363"/>
      <c r="F363"/>
      <c r="G363"/>
      <c r="O363"/>
    </row>
    <row r="364" spans="4:15" ht="12.75">
      <c r="D364"/>
      <c r="E364"/>
      <c r="F364"/>
      <c r="G364"/>
      <c r="O364"/>
    </row>
    <row r="365" spans="4:15" ht="12.75">
      <c r="D365"/>
      <c r="E365"/>
      <c r="F365"/>
      <c r="G365"/>
      <c r="O365"/>
    </row>
    <row r="366" spans="4:15" ht="12.75">
      <c r="D366"/>
      <c r="E366"/>
      <c r="F366"/>
      <c r="G366"/>
      <c r="O366"/>
    </row>
    <row r="367" spans="4:15" ht="12.75">
      <c r="D367"/>
      <c r="E367"/>
      <c r="F367"/>
      <c r="G367"/>
      <c r="O367"/>
    </row>
    <row r="368" spans="4:15" ht="12.75">
      <c r="D368"/>
      <c r="E368"/>
      <c r="F368"/>
      <c r="G368"/>
      <c r="O368"/>
    </row>
    <row r="369" spans="4:15" ht="12.75">
      <c r="D369"/>
      <c r="E369"/>
      <c r="F369"/>
      <c r="G369"/>
      <c r="O369"/>
    </row>
    <row r="370" spans="4:15" ht="12.75">
      <c r="D370"/>
      <c r="E370"/>
      <c r="F370"/>
      <c r="G370"/>
      <c r="O370"/>
    </row>
    <row r="371" spans="4:15" ht="12.75">
      <c r="D371"/>
      <c r="E371"/>
      <c r="F371"/>
      <c r="G371"/>
      <c r="O371"/>
    </row>
    <row r="372" spans="4:15" ht="12.75">
      <c r="D372"/>
      <c r="E372"/>
      <c r="F372"/>
      <c r="G372"/>
      <c r="O372"/>
    </row>
    <row r="373" spans="4:15" ht="12.75">
      <c r="D373"/>
      <c r="E373"/>
      <c r="F373"/>
      <c r="G373"/>
      <c r="O373"/>
    </row>
    <row r="374" spans="4:15" ht="12.75">
      <c r="D374"/>
      <c r="E374"/>
      <c r="F374"/>
      <c r="G374"/>
      <c r="O374"/>
    </row>
    <row r="375" spans="4:15" ht="12.75">
      <c r="D375"/>
      <c r="E375"/>
      <c r="F375"/>
      <c r="G375"/>
      <c r="O375"/>
    </row>
    <row r="376" spans="4:15" ht="12.75">
      <c r="D376"/>
      <c r="E376"/>
      <c r="F376"/>
      <c r="G376"/>
      <c r="O376"/>
    </row>
    <row r="377" spans="4:15" ht="12.75">
      <c r="D377"/>
      <c r="E377"/>
      <c r="F377"/>
      <c r="G377"/>
      <c r="O377"/>
    </row>
    <row r="378" spans="4:15" ht="12.75">
      <c r="D378"/>
      <c r="E378"/>
      <c r="F378"/>
      <c r="G378"/>
      <c r="O378"/>
    </row>
    <row r="379" spans="4:15" ht="12.75">
      <c r="D379"/>
      <c r="E379"/>
      <c r="F379"/>
      <c r="G379"/>
      <c r="O379"/>
    </row>
    <row r="380" spans="4:15" ht="12.75">
      <c r="D380"/>
      <c r="E380"/>
      <c r="F380"/>
      <c r="G380"/>
      <c r="O380"/>
    </row>
    <row r="381" spans="4:15" ht="12.75">
      <c r="D381"/>
      <c r="E381"/>
      <c r="F381"/>
      <c r="G381"/>
      <c r="O381"/>
    </row>
    <row r="382" spans="4:15" ht="12.75">
      <c r="D382"/>
      <c r="E382"/>
      <c r="F382"/>
      <c r="G382"/>
      <c r="O382"/>
    </row>
    <row r="383" spans="4:15" ht="12.75">
      <c r="D383"/>
      <c r="E383"/>
      <c r="F383"/>
      <c r="G383"/>
      <c r="O383"/>
    </row>
    <row r="384" spans="4:15" ht="12.75">
      <c r="D384"/>
      <c r="E384"/>
      <c r="F384"/>
      <c r="G384"/>
      <c r="O384"/>
    </row>
    <row r="385" spans="4:15" ht="12.75">
      <c r="D385"/>
      <c r="E385"/>
      <c r="F385"/>
      <c r="G385"/>
      <c r="O385"/>
    </row>
    <row r="386" spans="4:15" ht="12.75">
      <c r="D386"/>
      <c r="E386"/>
      <c r="F386"/>
      <c r="G386"/>
      <c r="O386"/>
    </row>
    <row r="387" spans="4:15" ht="12.75">
      <c r="D387"/>
      <c r="E387"/>
      <c r="F387"/>
      <c r="G387"/>
      <c r="O387"/>
    </row>
    <row r="388" spans="4:15" ht="12.75">
      <c r="D388"/>
      <c r="E388"/>
      <c r="F388"/>
      <c r="G388"/>
      <c r="O388"/>
    </row>
    <row r="389" spans="4:15" ht="12.75">
      <c r="D389"/>
      <c r="E389"/>
      <c r="F389"/>
      <c r="G389"/>
      <c r="O389"/>
    </row>
    <row r="390" spans="4:15" ht="12.75">
      <c r="D390"/>
      <c r="E390"/>
      <c r="F390"/>
      <c r="G390"/>
      <c r="O390"/>
    </row>
    <row r="391" spans="4:15" ht="12.75">
      <c r="D391"/>
      <c r="E391"/>
      <c r="F391"/>
      <c r="G391"/>
      <c r="O391"/>
    </row>
    <row r="392" spans="4:15" ht="12.75">
      <c r="D392"/>
      <c r="E392"/>
      <c r="F392"/>
      <c r="G392"/>
      <c r="O392"/>
    </row>
    <row r="393" spans="4:15" ht="12.75">
      <c r="D393"/>
      <c r="E393"/>
      <c r="F393"/>
      <c r="G393"/>
      <c r="O393"/>
    </row>
    <row r="394" spans="4:15" ht="12.75">
      <c r="D394"/>
      <c r="E394"/>
      <c r="F394"/>
      <c r="G394"/>
      <c r="O394"/>
    </row>
    <row r="395" spans="4:15" ht="12.75">
      <c r="D395"/>
      <c r="E395"/>
      <c r="F395"/>
      <c r="G395"/>
      <c r="O395"/>
    </row>
    <row r="396" spans="4:15" ht="12.75">
      <c r="D396"/>
      <c r="E396"/>
      <c r="F396"/>
      <c r="G396"/>
      <c r="O396"/>
    </row>
    <row r="397" spans="4:15" ht="12.75">
      <c r="D397"/>
      <c r="E397"/>
      <c r="F397"/>
      <c r="G397"/>
      <c r="O397"/>
    </row>
    <row r="398" spans="4:15" ht="12.75">
      <c r="D398"/>
      <c r="E398"/>
      <c r="F398"/>
      <c r="G398"/>
      <c r="O398"/>
    </row>
    <row r="399" spans="4:15" ht="12.75">
      <c r="D399"/>
      <c r="E399"/>
      <c r="F399"/>
      <c r="G399"/>
      <c r="O399"/>
    </row>
    <row r="400" spans="4:15" ht="12.75">
      <c r="D400"/>
      <c r="E400"/>
      <c r="F400"/>
      <c r="G400"/>
      <c r="O400"/>
    </row>
    <row r="401" spans="4:15" ht="12.75">
      <c r="D401"/>
      <c r="E401"/>
      <c r="F401"/>
      <c r="G401"/>
      <c r="O401"/>
    </row>
    <row r="402" spans="4:15" ht="12.75">
      <c r="D402"/>
      <c r="E402"/>
      <c r="F402"/>
      <c r="G402"/>
      <c r="O402"/>
    </row>
    <row r="403" spans="4:15" ht="12.75">
      <c r="D403"/>
      <c r="E403"/>
      <c r="F403"/>
      <c r="G403"/>
      <c r="O403"/>
    </row>
    <row r="404" spans="4:15" ht="12.75">
      <c r="D404"/>
      <c r="E404"/>
      <c r="F404"/>
      <c r="G404"/>
      <c r="O404"/>
    </row>
    <row r="405" spans="4:15" ht="12.75">
      <c r="D405"/>
      <c r="E405"/>
      <c r="F405"/>
      <c r="G405"/>
      <c r="O405"/>
    </row>
    <row r="406" spans="4:15" ht="12.75">
      <c r="D406"/>
      <c r="E406"/>
      <c r="F406"/>
      <c r="G406"/>
      <c r="O406"/>
    </row>
    <row r="407" spans="4:15" ht="12.75">
      <c r="D407"/>
      <c r="E407"/>
      <c r="F407"/>
      <c r="G407"/>
      <c r="O407"/>
    </row>
    <row r="408" spans="4:15" ht="12.75">
      <c r="D408"/>
      <c r="E408"/>
      <c r="F408"/>
      <c r="G408"/>
      <c r="O408"/>
    </row>
    <row r="409" spans="4:15" ht="12.75">
      <c r="D409"/>
      <c r="E409"/>
      <c r="F409"/>
      <c r="G409"/>
      <c r="O409"/>
    </row>
    <row r="410" spans="4:15" ht="12.75">
      <c r="D410"/>
      <c r="E410"/>
      <c r="F410"/>
      <c r="G410"/>
      <c r="O410"/>
    </row>
    <row r="411" spans="4:15" ht="12.75">
      <c r="D411"/>
      <c r="E411"/>
      <c r="F411"/>
      <c r="G411"/>
      <c r="O411"/>
    </row>
    <row r="412" spans="4:15" ht="12.75">
      <c r="D412"/>
      <c r="E412"/>
      <c r="F412"/>
      <c r="G412"/>
      <c r="O412"/>
    </row>
    <row r="413" spans="4:15" ht="12.75">
      <c r="D413"/>
      <c r="E413"/>
      <c r="F413"/>
      <c r="G413"/>
      <c r="O413"/>
    </row>
    <row r="414" spans="4:15" ht="12.75">
      <c r="D414"/>
      <c r="E414"/>
      <c r="F414"/>
      <c r="G414"/>
      <c r="O414"/>
    </row>
    <row r="415" spans="4:15" ht="12.75">
      <c r="D415"/>
      <c r="E415"/>
      <c r="F415"/>
      <c r="G415"/>
      <c r="O415"/>
    </row>
    <row r="416" spans="4:15" ht="12.75">
      <c r="D416"/>
      <c r="E416"/>
      <c r="F416"/>
      <c r="G416"/>
      <c r="O416"/>
    </row>
    <row r="417" spans="4:15" ht="12.75">
      <c r="D417"/>
      <c r="E417"/>
      <c r="F417"/>
      <c r="G417"/>
      <c r="O417"/>
    </row>
    <row r="418" spans="4:15" ht="12.75">
      <c r="D418"/>
      <c r="E418"/>
      <c r="F418"/>
      <c r="G418"/>
      <c r="O418"/>
    </row>
    <row r="419" spans="4:15" ht="12.75">
      <c r="D419"/>
      <c r="E419"/>
      <c r="F419"/>
      <c r="G419"/>
      <c r="O419"/>
    </row>
    <row r="420" spans="4:15" ht="12.75">
      <c r="D420"/>
      <c r="E420"/>
      <c r="F420"/>
      <c r="G420"/>
      <c r="O420"/>
    </row>
    <row r="421" spans="4:15" ht="12.75">
      <c r="D421"/>
      <c r="E421"/>
      <c r="F421"/>
      <c r="G421"/>
      <c r="O421"/>
    </row>
    <row r="422" spans="4:15" ht="12.75">
      <c r="D422"/>
      <c r="E422"/>
      <c r="F422"/>
      <c r="G422"/>
      <c r="O422"/>
    </row>
    <row r="423" spans="4:15" ht="12.75">
      <c r="D423"/>
      <c r="E423"/>
      <c r="F423"/>
      <c r="G423"/>
      <c r="O423"/>
    </row>
    <row r="424" spans="4:15" ht="12.75">
      <c r="D424"/>
      <c r="E424"/>
      <c r="F424"/>
      <c r="G424"/>
      <c r="O424"/>
    </row>
    <row r="425" spans="4:15" ht="12.75">
      <c r="D425"/>
      <c r="E425"/>
      <c r="F425"/>
      <c r="G425"/>
      <c r="O425"/>
    </row>
    <row r="426" spans="4:15" ht="12.75">
      <c r="D426"/>
      <c r="E426"/>
      <c r="F426"/>
      <c r="G426"/>
      <c r="O426"/>
    </row>
    <row r="427" spans="4:15" ht="12.75">
      <c r="D427"/>
      <c r="E427"/>
      <c r="F427"/>
      <c r="G427"/>
      <c r="O427"/>
    </row>
    <row r="428" spans="4:15" ht="12.75">
      <c r="D428"/>
      <c r="E428"/>
      <c r="F428"/>
      <c r="G428"/>
      <c r="O428"/>
    </row>
    <row r="429" spans="4:15" ht="12.75">
      <c r="D429"/>
      <c r="E429"/>
      <c r="F429"/>
      <c r="G429"/>
      <c r="O429"/>
    </row>
    <row r="430" spans="4:15" ht="12.75">
      <c r="D430"/>
      <c r="E430"/>
      <c r="F430"/>
      <c r="G430"/>
      <c r="O430"/>
    </row>
    <row r="431" spans="4:15" ht="12.75">
      <c r="D431"/>
      <c r="E431"/>
      <c r="F431"/>
      <c r="G431"/>
      <c r="O431"/>
    </row>
    <row r="432" spans="4:15" ht="12.75">
      <c r="D432"/>
      <c r="E432"/>
      <c r="F432"/>
      <c r="G432"/>
      <c r="O432"/>
    </row>
    <row r="433" spans="4:15" ht="12.75">
      <c r="D433"/>
      <c r="E433"/>
      <c r="F433"/>
      <c r="G433"/>
      <c r="O433"/>
    </row>
    <row r="434" spans="4:15" ht="12.75">
      <c r="D434"/>
      <c r="E434"/>
      <c r="F434"/>
      <c r="G434"/>
      <c r="O434"/>
    </row>
    <row r="435" spans="4:15" ht="12.75">
      <c r="D435"/>
      <c r="E435"/>
      <c r="F435"/>
      <c r="G435"/>
      <c r="O435"/>
    </row>
    <row r="436" spans="4:15" ht="12.75">
      <c r="D436"/>
      <c r="E436"/>
      <c r="F436"/>
      <c r="G436"/>
      <c r="O436"/>
    </row>
    <row r="437" spans="4:15" ht="12.75">
      <c r="D437"/>
      <c r="E437"/>
      <c r="F437"/>
      <c r="G437"/>
      <c r="O437"/>
    </row>
    <row r="438" spans="4:15" ht="12.75">
      <c r="D438"/>
      <c r="E438"/>
      <c r="F438"/>
      <c r="G438"/>
      <c r="O438"/>
    </row>
    <row r="439" spans="4:15" ht="12.75">
      <c r="D439"/>
      <c r="E439"/>
      <c r="F439"/>
      <c r="G439"/>
      <c r="O439"/>
    </row>
    <row r="440" spans="4:15" ht="12.75">
      <c r="D440"/>
      <c r="E440"/>
      <c r="F440"/>
      <c r="G440"/>
      <c r="O440"/>
    </row>
    <row r="441" spans="4:15" ht="12.75">
      <c r="D441"/>
      <c r="E441"/>
      <c r="F441"/>
      <c r="G441"/>
      <c r="O441"/>
    </row>
    <row r="442" spans="4:15" ht="12.75">
      <c r="D442"/>
      <c r="E442"/>
      <c r="F442"/>
      <c r="G442"/>
      <c r="O442"/>
    </row>
    <row r="443" spans="4:15" ht="12.75">
      <c r="D443"/>
      <c r="E443"/>
      <c r="F443"/>
      <c r="G443"/>
      <c r="O443"/>
    </row>
    <row r="444" spans="4:15" ht="12.75">
      <c r="D444"/>
      <c r="E444"/>
      <c r="F444"/>
      <c r="G444"/>
      <c r="O444"/>
    </row>
    <row r="445" spans="4:15" ht="12.75">
      <c r="D445"/>
      <c r="E445"/>
      <c r="F445"/>
      <c r="G445"/>
      <c r="O445"/>
    </row>
    <row r="446" spans="4:15" ht="12.75">
      <c r="D446"/>
      <c r="E446"/>
      <c r="F446"/>
      <c r="G446"/>
      <c r="O446"/>
    </row>
    <row r="447" spans="4:15" ht="12.75">
      <c r="D447"/>
      <c r="E447"/>
      <c r="F447"/>
      <c r="G447"/>
      <c r="O447"/>
    </row>
    <row r="448" spans="4:15" ht="12.75">
      <c r="D448"/>
      <c r="E448"/>
      <c r="F448"/>
      <c r="G448"/>
      <c r="O448"/>
    </row>
    <row r="449" spans="4:15" ht="12.75">
      <c r="D449"/>
      <c r="E449"/>
      <c r="F449"/>
      <c r="G449"/>
      <c r="O449"/>
    </row>
    <row r="450" spans="4:15" ht="12.75">
      <c r="D450"/>
      <c r="E450"/>
      <c r="F450"/>
      <c r="G450"/>
      <c r="O450"/>
    </row>
    <row r="451" spans="4:15" ht="12.75">
      <c r="D451"/>
      <c r="E451"/>
      <c r="F451"/>
      <c r="G451"/>
      <c r="O451"/>
    </row>
    <row r="452" spans="4:15" ht="12.75">
      <c r="D452"/>
      <c r="E452"/>
      <c r="F452"/>
      <c r="G452"/>
      <c r="O452"/>
    </row>
    <row r="453" spans="4:15" ht="12.75">
      <c r="D453"/>
      <c r="E453"/>
      <c r="F453"/>
      <c r="G453"/>
      <c r="O453"/>
    </row>
    <row r="454" spans="4:15" ht="12.75">
      <c r="D454"/>
      <c r="E454"/>
      <c r="F454"/>
      <c r="G454"/>
      <c r="O454"/>
    </row>
    <row r="455" spans="4:15" ht="12.75">
      <c r="D455"/>
      <c r="E455"/>
      <c r="F455"/>
      <c r="G455"/>
      <c r="O455"/>
    </row>
    <row r="456" spans="4:15" ht="12.75">
      <c r="D456"/>
      <c r="E456"/>
      <c r="F456"/>
      <c r="G456"/>
      <c r="O456"/>
    </row>
    <row r="457" spans="4:15" ht="12.75">
      <c r="D457"/>
      <c r="E457"/>
      <c r="F457"/>
      <c r="G457"/>
      <c r="O457"/>
    </row>
    <row r="458" spans="4:15" ht="12.75">
      <c r="D458"/>
      <c r="E458"/>
      <c r="F458"/>
      <c r="G458"/>
      <c r="O458"/>
    </row>
    <row r="459" spans="4:15" ht="12.75">
      <c r="D459"/>
      <c r="E459"/>
      <c r="F459"/>
      <c r="G459"/>
      <c r="O459"/>
    </row>
    <row r="460" spans="4:15" ht="12.75">
      <c r="D460"/>
      <c r="E460"/>
      <c r="F460"/>
      <c r="G460"/>
      <c r="O460"/>
    </row>
    <row r="461" spans="4:15" ht="12.75">
      <c r="D461"/>
      <c r="E461"/>
      <c r="F461"/>
      <c r="G461"/>
      <c r="O461"/>
    </row>
    <row r="462" spans="4:15" ht="12.75">
      <c r="D462"/>
      <c r="E462"/>
      <c r="F462"/>
      <c r="G462"/>
      <c r="O462"/>
    </row>
    <row r="463" spans="4:15" ht="12.75">
      <c r="D463"/>
      <c r="E463"/>
      <c r="F463"/>
      <c r="G463"/>
      <c r="O463"/>
    </row>
    <row r="464" spans="4:15" ht="12.75">
      <c r="D464"/>
      <c r="E464"/>
      <c r="F464"/>
      <c r="G464"/>
      <c r="O464"/>
    </row>
    <row r="465" spans="4:15" ht="12.75">
      <c r="D465"/>
      <c r="E465"/>
      <c r="F465"/>
      <c r="G465"/>
      <c r="O465"/>
    </row>
    <row r="466" spans="4:15" ht="12.75">
      <c r="D466"/>
      <c r="E466"/>
      <c r="F466"/>
      <c r="G466"/>
      <c r="O466"/>
    </row>
    <row r="467" spans="4:15" ht="12.75">
      <c r="D467"/>
      <c r="E467"/>
      <c r="F467"/>
      <c r="G467"/>
      <c r="O467"/>
    </row>
    <row r="468" spans="4:15" ht="12.75">
      <c r="D468"/>
      <c r="E468"/>
      <c r="F468"/>
      <c r="G468"/>
      <c r="O468"/>
    </row>
    <row r="469" spans="4:15" ht="12.75">
      <c r="D469"/>
      <c r="E469"/>
      <c r="F469"/>
      <c r="G469"/>
      <c r="O469"/>
    </row>
    <row r="470" spans="4:15" ht="12.75">
      <c r="D470"/>
      <c r="E470"/>
      <c r="F470"/>
      <c r="G470"/>
      <c r="O470"/>
    </row>
    <row r="471" spans="4:15" ht="12.75">
      <c r="D471"/>
      <c r="E471"/>
      <c r="F471"/>
      <c r="G471"/>
      <c r="O471"/>
    </row>
    <row r="472" spans="4:15" ht="12.75">
      <c r="D472"/>
      <c r="E472"/>
      <c r="F472"/>
      <c r="G472"/>
      <c r="O472"/>
    </row>
    <row r="473" spans="4:15" ht="12.75">
      <c r="D473"/>
      <c r="E473"/>
      <c r="F473"/>
      <c r="G473"/>
      <c r="O473"/>
    </row>
    <row r="474" spans="4:15" ht="12.75">
      <c r="D474"/>
      <c r="E474"/>
      <c r="F474"/>
      <c r="G474"/>
      <c r="O474"/>
    </row>
    <row r="475" spans="4:15" ht="12.75">
      <c r="D475"/>
      <c r="E475"/>
      <c r="F475"/>
      <c r="G475"/>
      <c r="O475"/>
    </row>
    <row r="476" spans="4:15" ht="12.75">
      <c r="D476"/>
      <c r="E476"/>
      <c r="F476"/>
      <c r="G476"/>
      <c r="O476"/>
    </row>
    <row r="477" spans="4:15" ht="12.75">
      <c r="D477"/>
      <c r="E477"/>
      <c r="F477"/>
      <c r="G477"/>
      <c r="O477"/>
    </row>
    <row r="478" spans="4:15" ht="12.75">
      <c r="D478"/>
      <c r="E478"/>
      <c r="F478"/>
      <c r="G478"/>
      <c r="O478"/>
    </row>
    <row r="479" spans="4:15" ht="12.75">
      <c r="D479"/>
      <c r="E479"/>
      <c r="F479"/>
      <c r="G479"/>
      <c r="O479"/>
    </row>
    <row r="480" spans="4:15" ht="12.75">
      <c r="D480"/>
      <c r="E480"/>
      <c r="F480"/>
      <c r="G480"/>
      <c r="O480"/>
    </row>
    <row r="481" spans="4:15" ht="12.75">
      <c r="D481"/>
      <c r="E481"/>
      <c r="F481"/>
      <c r="G481"/>
      <c r="O481"/>
    </row>
    <row r="482" spans="4:15" ht="12.75">
      <c r="D482"/>
      <c r="E482"/>
      <c r="F482"/>
      <c r="G482"/>
      <c r="O482"/>
    </row>
    <row r="483" spans="4:15" ht="12.75">
      <c r="D483"/>
      <c r="E483"/>
      <c r="F483"/>
      <c r="G483"/>
      <c r="O483"/>
    </row>
    <row r="484" spans="4:15" ht="12.75">
      <c r="D484"/>
      <c r="E484"/>
      <c r="F484"/>
      <c r="G484"/>
      <c r="O484"/>
    </row>
    <row r="485" spans="4:15" ht="12.75">
      <c r="D485"/>
      <c r="E485"/>
      <c r="F485"/>
      <c r="G485"/>
      <c r="O485"/>
    </row>
    <row r="486" spans="4:15" ht="12.75">
      <c r="D486"/>
      <c r="E486"/>
      <c r="F486"/>
      <c r="G486"/>
      <c r="O486"/>
    </row>
    <row r="487" spans="4:15" ht="12.75">
      <c r="D487"/>
      <c r="E487"/>
      <c r="F487"/>
      <c r="G487"/>
      <c r="O487"/>
    </row>
    <row r="488" spans="4:15" ht="12.75">
      <c r="D488"/>
      <c r="E488"/>
      <c r="F488"/>
      <c r="G488"/>
      <c r="O488"/>
    </row>
    <row r="489" spans="4:15" ht="12.75">
      <c r="D489"/>
      <c r="E489"/>
      <c r="F489"/>
      <c r="G489"/>
      <c r="O489"/>
    </row>
    <row r="490" spans="4:15" ht="12.75">
      <c r="D490"/>
      <c r="E490"/>
      <c r="F490"/>
      <c r="G490"/>
      <c r="O490"/>
    </row>
    <row r="491" spans="4:15" ht="12.75">
      <c r="D491"/>
      <c r="E491"/>
      <c r="F491"/>
      <c r="G491"/>
      <c r="O491"/>
    </row>
    <row r="492" spans="4:15" ht="12.75">
      <c r="D492"/>
      <c r="E492"/>
      <c r="F492"/>
      <c r="G492"/>
      <c r="O492"/>
    </row>
    <row r="493" spans="4:15" ht="12.75">
      <c r="D493"/>
      <c r="E493"/>
      <c r="F493"/>
      <c r="G493"/>
      <c r="O493"/>
    </row>
    <row r="494" spans="4:15" ht="12.75">
      <c r="D494"/>
      <c r="E494"/>
      <c r="F494"/>
      <c r="G494"/>
      <c r="O494"/>
    </row>
    <row r="495" spans="4:15" ht="12.75">
      <c r="D495"/>
      <c r="E495"/>
      <c r="F495"/>
      <c r="G495"/>
      <c r="O495"/>
    </row>
    <row r="496" spans="4:15" ht="12.75">
      <c r="D496"/>
      <c r="E496"/>
      <c r="F496"/>
      <c r="G496"/>
      <c r="O496"/>
    </row>
    <row r="497" spans="4:15" ht="12.75">
      <c r="D497"/>
      <c r="E497"/>
      <c r="F497"/>
      <c r="G497"/>
      <c r="O497"/>
    </row>
    <row r="498" spans="4:15" ht="12.75">
      <c r="D498"/>
      <c r="E498"/>
      <c r="F498"/>
      <c r="G498"/>
      <c r="O498"/>
    </row>
    <row r="499" spans="4:15" ht="12.75">
      <c r="D499"/>
      <c r="E499"/>
      <c r="F499"/>
      <c r="G499"/>
      <c r="O499"/>
    </row>
    <row r="500" spans="4:15" ht="12.75">
      <c r="D500"/>
      <c r="E500"/>
      <c r="F500"/>
      <c r="G500"/>
      <c r="O500"/>
    </row>
    <row r="501" spans="4:15" ht="12.75">
      <c r="D501"/>
      <c r="E501"/>
      <c r="F501"/>
      <c r="G501"/>
      <c r="O501"/>
    </row>
    <row r="502" spans="4:15" ht="12.75">
      <c r="D502"/>
      <c r="E502"/>
      <c r="F502"/>
      <c r="G502"/>
      <c r="O502"/>
    </row>
    <row r="503" spans="4:15" ht="12.75">
      <c r="D503"/>
      <c r="E503"/>
      <c r="F503"/>
      <c r="G503"/>
      <c r="O503"/>
    </row>
    <row r="504" spans="4:15" ht="12.75">
      <c r="D504"/>
      <c r="E504"/>
      <c r="F504"/>
      <c r="G504"/>
      <c r="O504"/>
    </row>
    <row r="505" spans="4:15" ht="12.75">
      <c r="D505"/>
      <c r="E505"/>
      <c r="F505"/>
      <c r="G505"/>
      <c r="O505"/>
    </row>
    <row r="506" spans="4:15" ht="12.75">
      <c r="D506"/>
      <c r="E506"/>
      <c r="F506"/>
      <c r="G506"/>
      <c r="O506"/>
    </row>
    <row r="507" spans="4:15" ht="12.75">
      <c r="D507"/>
      <c r="E507"/>
      <c r="F507"/>
      <c r="G507"/>
      <c r="O507"/>
    </row>
    <row r="508" spans="4:15" ht="12.75">
      <c r="D508"/>
      <c r="E508"/>
      <c r="F508"/>
      <c r="G508"/>
      <c r="O508"/>
    </row>
    <row r="509" spans="4:15" ht="12.75">
      <c r="D509"/>
      <c r="E509"/>
      <c r="F509"/>
      <c r="G509"/>
      <c r="O509"/>
    </row>
    <row r="510" spans="4:15" ht="12.75">
      <c r="D510"/>
      <c r="E510"/>
      <c r="F510"/>
      <c r="G510"/>
      <c r="O510"/>
    </row>
    <row r="511" spans="4:15" ht="12.75">
      <c r="D511"/>
      <c r="E511"/>
      <c r="F511"/>
      <c r="G511"/>
      <c r="O511"/>
    </row>
    <row r="512" spans="4:15" ht="12.75">
      <c r="D512"/>
      <c r="E512"/>
      <c r="F512"/>
      <c r="G512"/>
      <c r="O512"/>
    </row>
    <row r="513" spans="4:15" ht="12.75">
      <c r="D513"/>
      <c r="E513"/>
      <c r="F513"/>
      <c r="G513"/>
      <c r="O513"/>
    </row>
    <row r="514" spans="4:15" ht="12.75">
      <c r="D514"/>
      <c r="E514"/>
      <c r="F514"/>
      <c r="G514"/>
      <c r="O514"/>
    </row>
    <row r="515" spans="4:15" ht="12.75">
      <c r="D515"/>
      <c r="E515"/>
      <c r="F515"/>
      <c r="G515"/>
      <c r="O515"/>
    </row>
    <row r="516" spans="4:15" ht="12.75">
      <c r="D516"/>
      <c r="E516"/>
      <c r="F516"/>
      <c r="G516"/>
      <c r="O516"/>
    </row>
    <row r="517" spans="4:15" ht="12.75">
      <c r="D517"/>
      <c r="E517"/>
      <c r="F517"/>
      <c r="G517"/>
      <c r="O517"/>
    </row>
    <row r="518" spans="4:15" ht="12.75">
      <c r="D518"/>
      <c r="E518"/>
      <c r="F518"/>
      <c r="G518"/>
      <c r="O518"/>
    </row>
    <row r="519" spans="4:15" ht="12.75">
      <c r="D519"/>
      <c r="E519"/>
      <c r="F519"/>
      <c r="G519"/>
      <c r="O519"/>
    </row>
    <row r="520" spans="4:15" ht="12.75">
      <c r="D520"/>
      <c r="E520"/>
      <c r="F520"/>
      <c r="G520"/>
      <c r="O520"/>
    </row>
    <row r="521" spans="4:15" ht="12.75">
      <c r="D521"/>
      <c r="E521"/>
      <c r="F521"/>
      <c r="G521"/>
      <c r="O521"/>
    </row>
    <row r="522" spans="4:15" ht="12.75">
      <c r="D522"/>
      <c r="E522"/>
      <c r="F522"/>
      <c r="G522"/>
      <c r="O522"/>
    </row>
    <row r="523" spans="4:15" ht="12.75">
      <c r="D523"/>
      <c r="E523"/>
      <c r="F523"/>
      <c r="G523"/>
      <c r="O523"/>
    </row>
    <row r="524" spans="4:15" ht="12.75">
      <c r="D524"/>
      <c r="E524"/>
      <c r="F524"/>
      <c r="G524"/>
      <c r="O524"/>
    </row>
    <row r="525" spans="4:15" ht="12.75">
      <c r="D525"/>
      <c r="E525"/>
      <c r="F525"/>
      <c r="G525"/>
      <c r="O525"/>
    </row>
    <row r="526" spans="4:15" ht="12.75">
      <c r="D526"/>
      <c r="E526"/>
      <c r="F526"/>
      <c r="G526"/>
      <c r="O526"/>
    </row>
    <row r="527" spans="4:15" ht="12.75">
      <c r="D527"/>
      <c r="E527"/>
      <c r="F527"/>
      <c r="G527"/>
      <c r="O527"/>
    </row>
    <row r="528" spans="4:15" ht="12.75">
      <c r="D528"/>
      <c r="E528"/>
      <c r="F528"/>
      <c r="G528"/>
      <c r="O528"/>
    </row>
    <row r="529" spans="4:15" ht="12.75">
      <c r="D529"/>
      <c r="E529"/>
      <c r="F529"/>
      <c r="G529"/>
      <c r="O529"/>
    </row>
    <row r="530" spans="4:15" ht="12.75">
      <c r="D530"/>
      <c r="E530"/>
      <c r="F530"/>
      <c r="G530"/>
      <c r="O530"/>
    </row>
    <row r="531" spans="4:15" ht="12.75">
      <c r="D531"/>
      <c r="E531"/>
      <c r="F531"/>
      <c r="G531"/>
      <c r="O531"/>
    </row>
    <row r="532" spans="4:15" ht="12.75">
      <c r="D532"/>
      <c r="E532"/>
      <c r="F532"/>
      <c r="G532"/>
      <c r="O532"/>
    </row>
    <row r="533" spans="4:15" ht="12.75">
      <c r="D533"/>
      <c r="E533"/>
      <c r="F533"/>
      <c r="G533"/>
      <c r="O533"/>
    </row>
    <row r="534" spans="4:15" ht="12.75">
      <c r="D534"/>
      <c r="E534"/>
      <c r="F534"/>
      <c r="G534"/>
      <c r="O534"/>
    </row>
    <row r="535" spans="4:15" ht="12.75">
      <c r="D535"/>
      <c r="E535"/>
      <c r="F535"/>
      <c r="G535"/>
      <c r="O535"/>
    </row>
    <row r="536" spans="4:15" ht="12.75">
      <c r="D536"/>
      <c r="E536"/>
      <c r="F536"/>
      <c r="G536"/>
      <c r="O536"/>
    </row>
    <row r="537" spans="4:15" ht="12.75">
      <c r="D537"/>
      <c r="E537"/>
      <c r="F537"/>
      <c r="G537"/>
      <c r="O537"/>
    </row>
    <row r="538" spans="4:15" ht="12.75">
      <c r="D538"/>
      <c r="E538"/>
      <c r="F538"/>
      <c r="G538"/>
      <c r="O538"/>
    </row>
    <row r="539" spans="4:15" ht="12.75">
      <c r="D539"/>
      <c r="E539"/>
      <c r="F539"/>
      <c r="G539"/>
      <c r="O539"/>
    </row>
    <row r="540" spans="4:15" ht="12.75">
      <c r="D540"/>
      <c r="E540"/>
      <c r="F540"/>
      <c r="G540"/>
      <c r="O540"/>
    </row>
    <row r="541" spans="4:15" ht="12.75">
      <c r="D541"/>
      <c r="E541"/>
      <c r="F541"/>
      <c r="G541"/>
      <c r="O541"/>
    </row>
    <row r="542" spans="4:15" ht="12.75">
      <c r="D542"/>
      <c r="E542"/>
      <c r="F542"/>
      <c r="G542"/>
      <c r="O542"/>
    </row>
    <row r="543" spans="4:15" ht="12.75">
      <c r="D543"/>
      <c r="E543"/>
      <c r="F543"/>
      <c r="G543"/>
      <c r="O543"/>
    </row>
    <row r="544" spans="4:15" ht="12.75">
      <c r="D544"/>
      <c r="E544"/>
      <c r="F544"/>
      <c r="G544"/>
      <c r="O544"/>
    </row>
    <row r="545" spans="4:15" ht="12.75">
      <c r="D545"/>
      <c r="E545"/>
      <c r="F545"/>
      <c r="G545"/>
      <c r="O545"/>
    </row>
    <row r="546" spans="4:15" ht="12.75">
      <c r="D546"/>
      <c r="E546"/>
      <c r="F546"/>
      <c r="G546"/>
      <c r="O546"/>
    </row>
    <row r="547" spans="4:15" ht="12.75">
      <c r="D547"/>
      <c r="E547"/>
      <c r="F547"/>
      <c r="G547"/>
      <c r="O547"/>
    </row>
    <row r="548" spans="4:15" ht="12.75">
      <c r="D548"/>
      <c r="E548"/>
      <c r="F548"/>
      <c r="G548"/>
      <c r="O548"/>
    </row>
    <row r="549" spans="4:15" ht="12.75">
      <c r="D549"/>
      <c r="E549"/>
      <c r="F549"/>
      <c r="G549"/>
      <c r="O549"/>
    </row>
    <row r="550" spans="4:15" ht="12.75">
      <c r="D550"/>
      <c r="E550"/>
      <c r="F550"/>
      <c r="G550"/>
      <c r="O550"/>
    </row>
    <row r="551" spans="4:15" ht="12.75">
      <c r="D551"/>
      <c r="E551"/>
      <c r="F551"/>
      <c r="G551"/>
      <c r="O551"/>
    </row>
    <row r="552" spans="4:15" ht="12.75">
      <c r="D552"/>
      <c r="E552"/>
      <c r="F552"/>
      <c r="G552"/>
      <c r="O552"/>
    </row>
    <row r="553" spans="4:15" ht="12.75">
      <c r="D553"/>
      <c r="E553"/>
      <c r="F553"/>
      <c r="G553"/>
      <c r="O553"/>
    </row>
    <row r="554" spans="4:15" ht="12.75">
      <c r="D554"/>
      <c r="E554"/>
      <c r="F554"/>
      <c r="G554"/>
      <c r="O554"/>
    </row>
    <row r="555" spans="4:15" ht="12.75">
      <c r="D555"/>
      <c r="E555"/>
      <c r="F555"/>
      <c r="G555"/>
      <c r="O555"/>
    </row>
  </sheetData>
  <sheetProtection/>
  <mergeCells count="179">
    <mergeCell ref="A170:A175"/>
    <mergeCell ref="F170:F175"/>
    <mergeCell ref="G170:G175"/>
    <mergeCell ref="H170:H175"/>
    <mergeCell ref="I170:I175"/>
    <mergeCell ref="J170:J175"/>
    <mergeCell ref="A164:A169"/>
    <mergeCell ref="F164:F169"/>
    <mergeCell ref="G164:G169"/>
    <mergeCell ref="H164:H169"/>
    <mergeCell ref="I164:I169"/>
    <mergeCell ref="J164:J169"/>
    <mergeCell ref="A158:A163"/>
    <mergeCell ref="F158:F163"/>
    <mergeCell ref="G158:G163"/>
    <mergeCell ref="H158:H163"/>
    <mergeCell ref="I158:I163"/>
    <mergeCell ref="J158:J163"/>
    <mergeCell ref="A152:A157"/>
    <mergeCell ref="F152:F157"/>
    <mergeCell ref="G152:G157"/>
    <mergeCell ref="H152:H157"/>
    <mergeCell ref="I152:I157"/>
    <mergeCell ref="J152:J157"/>
    <mergeCell ref="A146:A151"/>
    <mergeCell ref="F146:F151"/>
    <mergeCell ref="G146:G151"/>
    <mergeCell ref="H146:H151"/>
    <mergeCell ref="I146:I151"/>
    <mergeCell ref="J146:J151"/>
    <mergeCell ref="A140:A145"/>
    <mergeCell ref="F140:F145"/>
    <mergeCell ref="G140:G145"/>
    <mergeCell ref="H140:H145"/>
    <mergeCell ref="I140:I145"/>
    <mergeCell ref="J140:J145"/>
    <mergeCell ref="A134:A139"/>
    <mergeCell ref="F134:F139"/>
    <mergeCell ref="G134:G139"/>
    <mergeCell ref="H134:H139"/>
    <mergeCell ref="I134:I139"/>
    <mergeCell ref="J134:J139"/>
    <mergeCell ref="A128:A133"/>
    <mergeCell ref="F128:F133"/>
    <mergeCell ref="G128:G133"/>
    <mergeCell ref="H128:H133"/>
    <mergeCell ref="I128:I133"/>
    <mergeCell ref="J128:J133"/>
    <mergeCell ref="A122:A127"/>
    <mergeCell ref="F122:F127"/>
    <mergeCell ref="G122:G127"/>
    <mergeCell ref="H122:H127"/>
    <mergeCell ref="I122:I127"/>
    <mergeCell ref="J122:J127"/>
    <mergeCell ref="A116:A121"/>
    <mergeCell ref="F116:F121"/>
    <mergeCell ref="G116:G121"/>
    <mergeCell ref="H116:H121"/>
    <mergeCell ref="I116:I121"/>
    <mergeCell ref="J116:J121"/>
    <mergeCell ref="A110:A115"/>
    <mergeCell ref="F110:F115"/>
    <mergeCell ref="G110:G115"/>
    <mergeCell ref="H110:H115"/>
    <mergeCell ref="I110:I115"/>
    <mergeCell ref="J110:J115"/>
    <mergeCell ref="A104:A109"/>
    <mergeCell ref="F104:F109"/>
    <mergeCell ref="G104:G109"/>
    <mergeCell ref="H104:H109"/>
    <mergeCell ref="I104:I109"/>
    <mergeCell ref="J104:J109"/>
    <mergeCell ref="A98:A103"/>
    <mergeCell ref="F98:F103"/>
    <mergeCell ref="G98:G103"/>
    <mergeCell ref="H98:H103"/>
    <mergeCell ref="I98:I103"/>
    <mergeCell ref="J98:J103"/>
    <mergeCell ref="A92:A97"/>
    <mergeCell ref="F92:F97"/>
    <mergeCell ref="G92:G97"/>
    <mergeCell ref="H92:H97"/>
    <mergeCell ref="I92:I97"/>
    <mergeCell ref="J92:J97"/>
    <mergeCell ref="A86:A91"/>
    <mergeCell ref="F86:F91"/>
    <mergeCell ref="G86:G91"/>
    <mergeCell ref="H86:H91"/>
    <mergeCell ref="I86:I91"/>
    <mergeCell ref="J86:J91"/>
    <mergeCell ref="A80:A85"/>
    <mergeCell ref="F80:F85"/>
    <mergeCell ref="G80:G85"/>
    <mergeCell ref="H80:H85"/>
    <mergeCell ref="I80:I85"/>
    <mergeCell ref="J80:J85"/>
    <mergeCell ref="A74:A79"/>
    <mergeCell ref="F74:F79"/>
    <mergeCell ref="G74:G79"/>
    <mergeCell ref="H74:H79"/>
    <mergeCell ref="I74:I79"/>
    <mergeCell ref="J74:J79"/>
    <mergeCell ref="A68:A73"/>
    <mergeCell ref="F68:F73"/>
    <mergeCell ref="G68:G73"/>
    <mergeCell ref="H68:H73"/>
    <mergeCell ref="I68:I73"/>
    <mergeCell ref="J68:J73"/>
    <mergeCell ref="A62:A67"/>
    <mergeCell ref="F62:F67"/>
    <mergeCell ref="G62:G67"/>
    <mergeCell ref="H62:H67"/>
    <mergeCell ref="I62:I67"/>
    <mergeCell ref="J62:J67"/>
    <mergeCell ref="A56:A61"/>
    <mergeCell ref="F56:F61"/>
    <mergeCell ref="G56:G61"/>
    <mergeCell ref="H56:H61"/>
    <mergeCell ref="I56:I61"/>
    <mergeCell ref="J56:J61"/>
    <mergeCell ref="A50:A55"/>
    <mergeCell ref="F50:F55"/>
    <mergeCell ref="G50:G55"/>
    <mergeCell ref="H50:H55"/>
    <mergeCell ref="I50:I55"/>
    <mergeCell ref="J50:J55"/>
    <mergeCell ref="A44:A49"/>
    <mergeCell ref="F44:F49"/>
    <mergeCell ref="G44:G49"/>
    <mergeCell ref="H44:H49"/>
    <mergeCell ref="I44:I49"/>
    <mergeCell ref="J44:J49"/>
    <mergeCell ref="A38:A43"/>
    <mergeCell ref="F38:F43"/>
    <mergeCell ref="G38:G43"/>
    <mergeCell ref="H38:H43"/>
    <mergeCell ref="I38:I43"/>
    <mergeCell ref="J38:J43"/>
    <mergeCell ref="A32:A37"/>
    <mergeCell ref="F32:F37"/>
    <mergeCell ref="G32:G37"/>
    <mergeCell ref="H32:H37"/>
    <mergeCell ref="I32:I37"/>
    <mergeCell ref="J32:J37"/>
    <mergeCell ref="A26:A31"/>
    <mergeCell ref="F26:F31"/>
    <mergeCell ref="G26:G31"/>
    <mergeCell ref="H26:H31"/>
    <mergeCell ref="I26:I31"/>
    <mergeCell ref="J26:J31"/>
    <mergeCell ref="A20:A25"/>
    <mergeCell ref="F20:F25"/>
    <mergeCell ref="G20:G25"/>
    <mergeCell ref="H20:H25"/>
    <mergeCell ref="I20:I25"/>
    <mergeCell ref="J20:J25"/>
    <mergeCell ref="A14:A19"/>
    <mergeCell ref="F14:F19"/>
    <mergeCell ref="G14:G19"/>
    <mergeCell ref="H14:H19"/>
    <mergeCell ref="I14:I19"/>
    <mergeCell ref="J14:J19"/>
    <mergeCell ref="H11:H12"/>
    <mergeCell ref="I11:I12"/>
    <mergeCell ref="J11:J12"/>
    <mergeCell ref="K11:K12"/>
    <mergeCell ref="L11:L12"/>
    <mergeCell ref="Q11:R11"/>
    <mergeCell ref="Q12:R12"/>
    <mergeCell ref="A1:L1"/>
    <mergeCell ref="A2:L2"/>
    <mergeCell ref="A3:L3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1968503937007874" right="0.1968503937007874" top="0.7874015748031497" bottom="0.1968503937007874" header="0.3937007874015748" footer="0.3937007874015748"/>
  <pageSetup fitToHeight="5" horizontalDpi="600" verticalDpi="600" orientation="landscape" paperSize="9" scale="58" r:id="rId1"/>
  <headerFooter differentFirst="1" alignWithMargins="0">
    <oddHeader>&amp;R&amp;P</oddHeader>
  </headerFooter>
  <rowBreaks count="2" manualBreakCount="2">
    <brk id="49" max="11" man="1"/>
    <brk id="8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70" zoomScaleNormal="121" zoomScaleSheetLayoutView="70" zoomScalePageLayoutView="0" workbookViewId="0" topLeftCell="A13">
      <selection activeCell="C17" sqref="C17"/>
    </sheetView>
  </sheetViews>
  <sheetFormatPr defaultColWidth="9.00390625" defaultRowHeight="12.75"/>
  <cols>
    <col min="1" max="1" width="5.625" style="0" customWidth="1"/>
    <col min="2" max="2" width="4.375" style="50" customWidth="1"/>
    <col min="3" max="3" width="39.625" style="50" customWidth="1"/>
    <col min="4" max="5" width="10.875" style="51" customWidth="1"/>
    <col min="6" max="6" width="10.875" style="52" customWidth="1"/>
    <col min="7" max="7" width="11.75390625" style="0" customWidth="1"/>
    <col min="8" max="8" width="7.375" style="0" customWidth="1"/>
  </cols>
  <sheetData>
    <row r="1" spans="2:8" ht="15" customHeight="1">
      <c r="B1" s="572" t="str">
        <f>'Іменні заявки'!C1</f>
        <v>Департамент освіти і науки Хмельницької обласної державної адміністрації</v>
      </c>
      <c r="C1" s="572"/>
      <c r="D1" s="572"/>
      <c r="E1" s="572"/>
      <c r="F1" s="572"/>
      <c r="G1" s="572"/>
      <c r="H1" s="572"/>
    </row>
    <row r="2" spans="2:8" ht="15" customHeight="1">
      <c r="B2" s="573" t="str">
        <f>'Іменні заявки'!C2</f>
        <v>ХМЕЛЬНИЦЬКИЙ ОБЛАСНИЙ ЦЕНТР ТУРИЗМУ І КРАЄЗНАВСТВА УЧНІВСЬКОЇ МОЛОДІ</v>
      </c>
      <c r="C2" s="573"/>
      <c r="D2" s="573"/>
      <c r="E2" s="573"/>
      <c r="F2" s="573"/>
      <c r="G2" s="573"/>
      <c r="H2" s="573"/>
    </row>
    <row r="3" spans="2:8" ht="18" customHeight="1">
      <c r="B3" s="497" t="str">
        <f>'Іменні заявки'!C3</f>
        <v>Чемпіонат області серед працівників закладів освіти з пішохідного туризму "Листопад-2015"</v>
      </c>
      <c r="C3" s="497"/>
      <c r="D3" s="497"/>
      <c r="E3" s="497"/>
      <c r="F3" s="497"/>
      <c r="G3" s="497"/>
      <c r="H3" s="497"/>
    </row>
    <row r="4" spans="2:8" ht="30" customHeight="1">
      <c r="B4" s="584" t="s">
        <v>210</v>
      </c>
      <c r="C4" s="584"/>
      <c r="D4" s="584"/>
      <c r="E4" s="584"/>
      <c r="F4" s="584"/>
      <c r="G4" s="584"/>
      <c r="H4" s="584"/>
    </row>
    <row r="5" spans="2:8" ht="15" customHeight="1">
      <c r="B5" s="102" t="str">
        <f>'Іменні заявки'!C5</f>
        <v>08-12 жовтня 2015 року</v>
      </c>
      <c r="C5"/>
      <c r="D5"/>
      <c r="E5"/>
      <c r="F5"/>
      <c r="H5" s="103" t="str">
        <f>'Іменні заявки'!C4</f>
        <v>ур.Новики Старокостянтинівського р-ну</v>
      </c>
    </row>
    <row r="6" ht="9.75" customHeight="1" thickBot="1"/>
    <row r="7" spans="2:8" ht="14.25" customHeight="1">
      <c r="B7" s="580" t="s">
        <v>139</v>
      </c>
      <c r="C7" s="583" t="s">
        <v>40</v>
      </c>
      <c r="D7" s="577" t="s">
        <v>265</v>
      </c>
      <c r="E7" s="577" t="s">
        <v>266</v>
      </c>
      <c r="F7" s="577" t="s">
        <v>211</v>
      </c>
      <c r="G7" s="574" t="s">
        <v>214</v>
      </c>
      <c r="H7" s="577" t="s">
        <v>30</v>
      </c>
    </row>
    <row r="8" spans="2:8" ht="42.75" customHeight="1">
      <c r="B8" s="581"/>
      <c r="C8" s="581"/>
      <c r="D8" s="578"/>
      <c r="E8" s="578"/>
      <c r="F8" s="578"/>
      <c r="G8" s="575"/>
      <c r="H8" s="578"/>
    </row>
    <row r="9" spans="2:8" ht="36" customHeight="1" thickBot="1">
      <c r="B9" s="582"/>
      <c r="C9" s="582"/>
      <c r="D9" s="579"/>
      <c r="E9" s="579"/>
      <c r="F9" s="579"/>
      <c r="G9" s="576"/>
      <c r="H9" s="579"/>
    </row>
    <row r="10" spans="1:8" ht="22.5" customHeight="1">
      <c r="A10" s="12">
        <v>250</v>
      </c>
      <c r="B10" s="57">
        <f>IF(ISTEXT(C10),COUNTIF(C$10:C10,"&lt;&gt;0"),"")</f>
        <v>1</v>
      </c>
      <c r="C10" s="58" t="str">
        <f>VLOOKUP(A10,'Іменні заявки'!$A:$J,7,FALSE)</f>
        <v>м.Хмельницького</v>
      </c>
      <c r="D10" s="60">
        <f>IF(ISNA(VLOOKUP($A10,'Проток.рез.КСП'!$A:$Y,24,FALSE)),"н/у",IF(VLOOKUP($A10,'Проток.рез.КСП'!$A:$Y,24,FALSE)="","н/у",VLOOKUP($A10,'Проток.рез.КСП'!$A:$Y,24,FALSE)))</f>
        <v>1</v>
      </c>
      <c r="E10" s="60">
        <f>IF(ISNA(VLOOKUP($A10,'Прот.рез.Кр.-пох.'!$A:$AA,26,FALSE)),"н/у",IF(VLOOKUP($A10,'Прот.рез.Кр.-пох.'!$A:$AA,26,FALSE)="","н/у",VLOOKUP($A10,'Прот.рез.Кр.-пох.'!$A:$AA,26,FALSE)))</f>
        <v>1</v>
      </c>
      <c r="F10" s="91" t="s">
        <v>212</v>
      </c>
      <c r="G10" s="92">
        <f>IF(VLOOKUP($A10,'Іменні заявки'!$A:$J,7,FALSE)="","",IF(COUNTIF(D10:E10,"н/у")=0,SUM(D10:E10),IF(COUNTIF(D10:E10,"н/у")=2,"2 н/у",IF(COUNTIF(D10:E10,"н/у")&gt;=1,COUNTIF(D10:E10,"н/у")&amp;" н/у-"&amp;SUM(D10:E10),"—"))))</f>
        <v>2</v>
      </c>
      <c r="H10" s="296">
        <v>1</v>
      </c>
    </row>
    <row r="11" spans="1:8" ht="22.5" customHeight="1">
      <c r="A11" s="12">
        <v>190</v>
      </c>
      <c r="B11" s="90">
        <f>IF(ISTEXT(C11),COUNTIF(C$10:C11,"&lt;&gt;0"),"")</f>
        <v>2</v>
      </c>
      <c r="C11" s="64" t="str">
        <f>VLOOKUP(A11,'Іменні заявки'!$A:$J,7,FALSE)</f>
        <v>Шепетівського р-ну</v>
      </c>
      <c r="D11" s="66">
        <f>IF(ISNA(VLOOKUP($A11,'Проток.рез.КСП'!$A:$Y,24,FALSE)),"н/у",IF(VLOOKUP($A11,'Проток.рез.КСП'!$A:$Y,24,FALSE)="","н/у",VLOOKUP($A11,'Проток.рез.КСП'!$A:$Y,24,FALSE)))</f>
        <v>2</v>
      </c>
      <c r="E11" s="66">
        <f>IF(ISNA(VLOOKUP($A11,'Прот.рез.Кр.-пох.'!$A:$AA,26,FALSE)),"н/у",IF(VLOOKUP($A11,'Прот.рез.Кр.-пох.'!$A:$AA,26,FALSE)="","н/у",VLOOKUP($A11,'Прот.рез.Кр.-пох.'!$A:$AA,26,FALSE)))</f>
        <v>2</v>
      </c>
      <c r="F11" s="93" t="s">
        <v>212</v>
      </c>
      <c r="G11" s="94">
        <f>IF(VLOOKUP($A11,'Іменні заявки'!$A:$J,7,FALSE)="","",IF(COUNTIF(D11:E11,"н/у")=0,SUM(D11:E11),IF(COUNTIF(D11:E11,"н/у")=2,"2 н/у",IF(COUNTIF(D11:E11,"н/у")&gt;=1,COUNTIF(D11:E11,"н/у")&amp;" н/у-"&amp;SUM(D11:E11),"—"))))</f>
        <v>4</v>
      </c>
      <c r="H11" s="297">
        <v>2</v>
      </c>
    </row>
    <row r="12" spans="1:8" ht="22.5" customHeight="1">
      <c r="A12" s="12">
        <v>210</v>
      </c>
      <c r="B12" s="95">
        <f>IF(ISTEXT(C12),COUNTIF(C$10:C12,"&lt;&gt;0"),"")</f>
        <v>3</v>
      </c>
      <c r="C12" s="64" t="str">
        <f>VLOOKUP(A12,'Іменні заявки'!$A:$J,7,FALSE)</f>
        <v>м.Кам’янця-Подільського</v>
      </c>
      <c r="D12" s="66">
        <f>IF(ISNA(VLOOKUP($A12,'Проток.рез.КСП'!$A:$Y,24,FALSE)),"н/у",IF(VLOOKUP($A12,'Проток.рез.КСП'!$A:$Y,24,FALSE)="","н/у",VLOOKUP($A12,'Проток.рез.КСП'!$A:$Y,24,FALSE)))</f>
        <v>4</v>
      </c>
      <c r="E12" s="66">
        <f>IF(ISNA(VLOOKUP($A12,'Прот.рез.Кр.-пох.'!$A:$AA,26,FALSE)),"н/у",IF(VLOOKUP($A12,'Прот.рез.Кр.-пох.'!$A:$AA,26,FALSE)="","н/у",VLOOKUP($A12,'Прот.рез.Кр.-пох.'!$A:$AA,26,FALSE)))</f>
        <v>3</v>
      </c>
      <c r="F12" s="93" t="s">
        <v>212</v>
      </c>
      <c r="G12" s="94">
        <f>IF(VLOOKUP($A12,'Іменні заявки'!$A:$J,7,FALSE)="","",IF(COUNTIF(D12:E12,"н/у")=0,SUM(D12:E12),IF(COUNTIF(D12:E12,"н/у")=2,"2 н/у",IF(COUNTIF(D12:E12,"н/у")&gt;=1,COUNTIF(D12:E12,"н/у")&amp;" н/у-"&amp;SUM(D12:E12),"—"))))</f>
        <v>7</v>
      </c>
      <c r="H12" s="297">
        <v>3</v>
      </c>
    </row>
    <row r="13" spans="1:8" ht="22.5" customHeight="1">
      <c r="A13" s="12">
        <v>230</v>
      </c>
      <c r="B13" s="63">
        <f>IF(ISTEXT(C13),COUNTIF(C$10:C13,"&lt;&gt;0"),"")</f>
        <v>4</v>
      </c>
      <c r="C13" s="64" t="str">
        <f>VLOOKUP(A13,'Іменні заявки'!$A:$J,7,FALSE)</f>
        <v>м.Славути</v>
      </c>
      <c r="D13" s="66">
        <f>IF(ISNA(VLOOKUP($A13,'Проток.рез.КСП'!$A:$Y,24,FALSE)),"н/у",IF(VLOOKUP($A13,'Проток.рез.КСП'!$A:$Y,24,FALSE)="","н/у",VLOOKUP($A13,'Проток.рез.КСП'!$A:$Y,24,FALSE)))</f>
        <v>3</v>
      </c>
      <c r="E13" s="66">
        <f>IF(ISNA(VLOOKUP($A13,'Прот.рез.Кр.-пох.'!$A:$AA,26,FALSE)),"н/у",IF(VLOOKUP($A13,'Прот.рез.Кр.-пох.'!$A:$AA,26,FALSE)="","н/у",VLOOKUP($A13,'Прот.рез.Кр.-пох.'!$A:$AA,26,FALSE)))</f>
        <v>4</v>
      </c>
      <c r="F13" s="93" t="s">
        <v>212</v>
      </c>
      <c r="G13" s="94">
        <f>IF(VLOOKUP($A13,'Іменні заявки'!$A:$J,7,FALSE)="","",IF(COUNTIF(D13:E13,"н/у")=0,SUM(D13:E13),IF(COUNTIF(D13:E13,"н/у")=2,"2 н/у",IF(COUNTIF(D13:E13,"н/у")&gt;=1,COUNTIF(D13:E13,"н/у")&amp;" н/у-"&amp;SUM(D13:E13),"—"))))</f>
        <v>7</v>
      </c>
      <c r="H13" s="297">
        <v>4</v>
      </c>
    </row>
    <row r="14" spans="1:8" ht="22.5" customHeight="1">
      <c r="A14" s="12">
        <v>120</v>
      </c>
      <c r="B14" s="63">
        <f>IF(ISTEXT(C14),COUNTIF(C$10:C14,"&lt;&gt;0"),"")</f>
        <v>5</v>
      </c>
      <c r="C14" s="64" t="str">
        <f>VLOOKUP(A14,'Іменні заявки'!$A:$J,7,FALSE)</f>
        <v>Полонського р-ну</v>
      </c>
      <c r="D14" s="66">
        <f>IF(ISNA(VLOOKUP($A14,'Проток.рез.КСП'!$A:$Y,24,FALSE)),"н/у",IF(VLOOKUP($A14,'Проток.рез.КСП'!$A:$Y,24,FALSE)="","н/у",VLOOKUP($A14,'Проток.рез.КСП'!$A:$Y,24,FALSE)))</f>
        <v>7</v>
      </c>
      <c r="E14" s="66">
        <f>IF(ISNA(VLOOKUP($A14,'Прот.рез.Кр.-пох.'!$A:$AA,26,FALSE)),"н/у",IF(VLOOKUP($A14,'Прот.рез.Кр.-пох.'!$A:$AA,26,FALSE)="","н/у",VLOOKUP($A14,'Прот.рез.Кр.-пох.'!$A:$AA,26,FALSE)))</f>
        <v>5</v>
      </c>
      <c r="F14" s="93" t="s">
        <v>212</v>
      </c>
      <c r="G14" s="94">
        <f>IF(VLOOKUP($A14,'Іменні заявки'!$A:$J,7,FALSE)="","",IF(COUNTIF(D14:E14,"н/у")=0,SUM(D14:E14),IF(COUNTIF(D14:E14,"н/у")=2,"2 н/у",IF(COUNTIF(D14:E14,"н/у")&gt;=1,COUNTIF(D14:E14,"н/у")&amp;" н/у-"&amp;SUM(D14:E14),"—"))))</f>
        <v>12</v>
      </c>
      <c r="H14" s="297">
        <v>5</v>
      </c>
    </row>
    <row r="15" spans="1:8" ht="22.5" customHeight="1">
      <c r="A15" s="12">
        <v>170</v>
      </c>
      <c r="B15" s="63">
        <f>IF(ISTEXT(C15),COUNTIF(C$10:C15,"&lt;&gt;0"),"")</f>
        <v>6</v>
      </c>
      <c r="C15" s="64" t="str">
        <f>VLOOKUP(A15,'Іменні заявки'!$A:$J,7,FALSE)</f>
        <v>Хмельницького р-ну</v>
      </c>
      <c r="D15" s="66">
        <f>IF(ISNA(VLOOKUP($A15,'Проток.рез.КСП'!$A:$Y,24,FALSE)),"н/у",IF(VLOOKUP($A15,'Проток.рез.КСП'!$A:$Y,24,FALSE)="","н/у",VLOOKUP($A15,'Проток.рез.КСП'!$A:$Y,24,FALSE)))</f>
        <v>6</v>
      </c>
      <c r="E15" s="66">
        <f>IF(ISNA(VLOOKUP($A15,'Прот.рез.Кр.-пох.'!$A:$AA,26,FALSE)),"н/у",IF(VLOOKUP($A15,'Прот.рез.Кр.-пох.'!$A:$AA,26,FALSE)="","н/у",VLOOKUP($A15,'Прот.рез.Кр.-пох.'!$A:$AA,26,FALSE)))</f>
        <v>6</v>
      </c>
      <c r="F15" s="93" t="s">
        <v>212</v>
      </c>
      <c r="G15" s="94">
        <f>IF(VLOOKUP($A15,'Іменні заявки'!$A:$J,7,FALSE)="","",IF(COUNTIF(D15:E15,"н/у")=0,SUM(D15:E15),IF(COUNTIF(D15:E15,"н/у")=2,"2 н/у",IF(COUNTIF(D15:E15,"н/у")&gt;=1,COUNTIF(D15:E15,"н/у")&amp;" н/у-"&amp;SUM(D15:E15),"—"))))</f>
        <v>12</v>
      </c>
      <c r="H15" s="297">
        <v>6</v>
      </c>
    </row>
    <row r="16" spans="1:8" ht="22.5" customHeight="1">
      <c r="A16" s="12">
        <v>220</v>
      </c>
      <c r="B16" s="63">
        <f>IF(ISTEXT(C16),COUNTIF(C$10:C16,"&lt;&gt;0"),"")</f>
        <v>7</v>
      </c>
      <c r="C16" s="64" t="str">
        <f>VLOOKUP(A16,'Іменні заявки'!$A:$J,7,FALSE)</f>
        <v>м. Нетішина</v>
      </c>
      <c r="D16" s="66">
        <f>IF(ISNA(VLOOKUP($A16,'Проток.рез.КСП'!$A:$Y,24,FALSE)),"н/у",IF(VLOOKUP($A16,'Проток.рез.КСП'!$A:$Y,24,FALSE)="","н/у",VLOOKUP($A16,'Проток.рез.КСП'!$A:$Y,24,FALSE)))</f>
        <v>5</v>
      </c>
      <c r="E16" s="66">
        <f>IF(ISNA(VLOOKUP($A16,'Прот.рез.Кр.-пох.'!$A:$AA,26,FALSE)),"н/у",IF(VLOOKUP($A16,'Прот.рез.Кр.-пох.'!$A:$AA,26,FALSE)="","н/у",VLOOKUP($A16,'Прот.рез.Кр.-пох.'!$A:$AA,26,FALSE)))</f>
        <v>7</v>
      </c>
      <c r="F16" s="93" t="s">
        <v>212</v>
      </c>
      <c r="G16" s="94">
        <f>IF(VLOOKUP($A16,'Іменні заявки'!$A:$J,7,FALSE)="","",IF(COUNTIF(D16:E16,"н/у")=0,SUM(D16:E16),IF(COUNTIF(D16:E16,"н/у")=2,"2 н/у",IF(COUNTIF(D16:E16,"н/у")&gt;=1,COUNTIF(D16:E16,"н/у")&amp;" н/у-"&amp;SUM(D16:E16),"—"))))</f>
        <v>12</v>
      </c>
      <c r="H16" s="297">
        <v>7</v>
      </c>
    </row>
    <row r="17" spans="1:8" ht="22.5" customHeight="1">
      <c r="A17" s="12">
        <v>140</v>
      </c>
      <c r="B17" s="63">
        <f>IF(ISTEXT(C17),COUNTIF(C$10:C17,"&lt;&gt;0"),"")</f>
        <v>8</v>
      </c>
      <c r="C17" s="64" t="str">
        <f>VLOOKUP(A17,'Іменні заявки'!$A:$J,7,FALSE)</f>
        <v>Старокостянтин. р-ну</v>
      </c>
      <c r="D17" s="66">
        <f>IF(ISNA(VLOOKUP($A17,'Проток.рез.КСП'!$A:$Y,24,FALSE)),"н/у",IF(VLOOKUP($A17,'Проток.рез.КСП'!$A:$Y,24,FALSE)="","н/у",VLOOKUP($A17,'Проток.рез.КСП'!$A:$Y,24,FALSE)))</f>
        <v>8</v>
      </c>
      <c r="E17" s="66">
        <f>IF(ISNA(VLOOKUP($A17,'Прот.рез.Кр.-пох.'!$A:$AA,26,FALSE)),"н/у",IF(VLOOKUP($A17,'Прот.рез.Кр.-пох.'!$A:$AA,26,FALSE)="","н/у",VLOOKUP($A17,'Прот.рез.Кр.-пох.'!$A:$AA,26,FALSE)))</f>
        <v>9</v>
      </c>
      <c r="F17" s="93" t="s">
        <v>212</v>
      </c>
      <c r="G17" s="94">
        <f>IF(VLOOKUP($A17,'Іменні заявки'!$A:$J,7,FALSE)="","",IF(COUNTIF(D17:E17,"н/у")=0,SUM(D17:E17),IF(COUNTIF(D17:E17,"н/у")=2,"2 н/у",IF(COUNTIF(D17:E17,"н/у")&gt;=1,COUNTIF(D17:E17,"н/у")&amp;" н/у-"&amp;SUM(D17:E17),"—"))))</f>
        <v>17</v>
      </c>
      <c r="H17" s="66">
        <v>8</v>
      </c>
    </row>
    <row r="18" spans="1:8" ht="22.5" customHeight="1">
      <c r="A18" s="12">
        <v>180</v>
      </c>
      <c r="B18" s="63">
        <f>IF(ISTEXT(C18),COUNTIF(C$10:C18,"&lt;&gt;0"),"")</f>
        <v>9</v>
      </c>
      <c r="C18" s="64" t="str">
        <f>VLOOKUP(A18,'Іменні заявки'!$A:$J,7,FALSE)</f>
        <v>Чемеровецького р-ну</v>
      </c>
      <c r="D18" s="66">
        <f>IF(ISNA(VLOOKUP($A18,'Проток.рез.КСП'!$A:$Y,24,FALSE)),"н/у",IF(VLOOKUP($A18,'Проток.рез.КСП'!$A:$Y,24,FALSE)="","н/у",VLOOKUP($A18,'Проток.рез.КСП'!$A:$Y,24,FALSE)))</f>
        <v>10</v>
      </c>
      <c r="E18" s="66">
        <f>IF(ISNA(VLOOKUP($A18,'Прот.рез.Кр.-пох.'!$A:$AA,26,FALSE)),"н/у",IF(VLOOKUP($A18,'Прот.рез.Кр.-пох.'!$A:$AA,26,FALSE)="","н/у",VLOOKUP($A18,'Прот.рез.Кр.-пох.'!$A:$AA,26,FALSE)))</f>
        <v>8</v>
      </c>
      <c r="F18" s="93" t="s">
        <v>212</v>
      </c>
      <c r="G18" s="94">
        <f>IF(VLOOKUP($A18,'Іменні заявки'!$A:$J,7,FALSE)="","",IF(COUNTIF(D18:E18,"н/у")=0,SUM(D18:E18),IF(COUNTIF(D18:E18,"н/у")=2,"2 н/у",IF(COUNTIF(D18:E18,"н/у")&gt;=1,COUNTIF(D18:E18,"н/у")&amp;" н/у-"&amp;SUM(D18:E18),"—"))))</f>
        <v>18</v>
      </c>
      <c r="H18" s="297">
        <v>9</v>
      </c>
    </row>
    <row r="19" spans="1:8" ht="22.5" customHeight="1">
      <c r="A19" s="12">
        <v>260</v>
      </c>
      <c r="B19" s="63">
        <f>IF(ISTEXT(C19),COUNTIF(C$10:C19,"&lt;&gt;0"),"")</f>
        <v>10</v>
      </c>
      <c r="C19" s="64" t="str">
        <f>VLOOKUP(A19,'Іменні заявки'!$A:$J,7,FALSE)</f>
        <v>м.Шепетівки</v>
      </c>
      <c r="D19" s="66">
        <f>IF(ISNA(VLOOKUP($A19,'Проток.рез.КСП'!$A:$Y,24,FALSE)),"н/у",IF(VLOOKUP($A19,'Проток.рез.КСП'!$A:$Y,24,FALSE)="","н/у",VLOOKUP($A19,'Проток.рез.КСП'!$A:$Y,24,FALSE)))</f>
        <v>9</v>
      </c>
      <c r="E19" s="66">
        <f>IF(ISNA(VLOOKUP($A19,'Прот.рез.Кр.-пох.'!$A:$AA,26,FALSE)),"н/у",IF(VLOOKUP($A19,'Прот.рез.Кр.-пох.'!$A:$AA,26,FALSE)="","н/у",VLOOKUP($A19,'Прот.рез.Кр.-пох.'!$A:$AA,26,FALSE)))</f>
        <v>11</v>
      </c>
      <c r="F19" s="93" t="s">
        <v>212</v>
      </c>
      <c r="G19" s="94">
        <f>IF(VLOOKUP($A19,'Іменні заявки'!$A:$J,7,FALSE)="","",IF(COUNTIF(D19:E19,"н/у")=0,SUM(D19:E19),IF(COUNTIF(D19:E19,"н/у")=2,"2 н/у",IF(COUNTIF(D19:E19,"н/у")&gt;=1,COUNTIF(D19:E19,"н/у")&amp;" н/у-"&amp;SUM(D19:E19),"—"))))</f>
        <v>20</v>
      </c>
      <c r="H19" s="297">
        <v>10</v>
      </c>
    </row>
    <row r="20" spans="1:8" ht="22.5" customHeight="1">
      <c r="A20" s="12">
        <v>240</v>
      </c>
      <c r="B20" s="63">
        <f>IF(ISTEXT(C20),COUNTIF(C$10:C20,"&lt;&gt;0"),"")</f>
        <v>11</v>
      </c>
      <c r="C20" s="64" t="str">
        <f>VLOOKUP(A20,'Іменні заявки'!$A:$J,7,FALSE)</f>
        <v>м.Старокостянтинів</v>
      </c>
      <c r="D20" s="66">
        <f>IF(ISNA(VLOOKUP($A20,'Проток.рез.КСП'!$A:$Y,24,FALSE)),"н/у",IF(VLOOKUP($A20,'Проток.рез.КСП'!$A:$Y,24,FALSE)="","н/у",VLOOKUP($A20,'Проток.рез.КСП'!$A:$Y,24,FALSE)))</f>
        <v>12</v>
      </c>
      <c r="E20" s="66">
        <f>IF(ISNA(VLOOKUP($A20,'Прот.рез.Кр.-пох.'!$A:$AA,26,FALSE)),"н/у",IF(VLOOKUP($A20,'Прот.рез.Кр.-пох.'!$A:$AA,26,FALSE)="","н/у",VLOOKUP($A20,'Прот.рез.Кр.-пох.'!$A:$AA,26,FALSE)))</f>
        <v>10</v>
      </c>
      <c r="F20" s="93" t="s">
        <v>212</v>
      </c>
      <c r="G20" s="94">
        <f>IF(VLOOKUP($A20,'Іменні заявки'!$A:$J,7,FALSE)="","",IF(COUNTIF(D20:E20,"н/у")=0,SUM(D20:E20),IF(COUNTIF(D20:E20,"н/у")=2,"2 н/у",IF(COUNTIF(D20:E20,"н/у")&gt;=1,COUNTIF(D20:E20,"н/у")&amp;" н/у-"&amp;SUM(D20:E20),"—"))))</f>
        <v>22</v>
      </c>
      <c r="H20" s="66">
        <v>11</v>
      </c>
    </row>
    <row r="21" spans="1:8" ht="22.5" customHeight="1">
      <c r="A21" s="12">
        <v>50</v>
      </c>
      <c r="B21" s="63">
        <f>IF(ISTEXT(C21),COUNTIF(C$10:C21,"&lt;&gt;0"),"")</f>
        <v>12</v>
      </c>
      <c r="C21" s="64" t="str">
        <f>VLOOKUP(A21,'Іменні заявки'!$A:$J,7,FALSE)</f>
        <v>Деражнянського р-ну</v>
      </c>
      <c r="D21" s="66">
        <f>IF(ISNA(VLOOKUP($A21,'Проток.рез.КСП'!$A:$Y,24,FALSE)),"н/у",IF(VLOOKUP($A21,'Проток.рез.КСП'!$A:$Y,24,FALSE)="","н/у",VLOOKUP($A21,'Проток.рез.КСП'!$A:$Y,24,FALSE)))</f>
        <v>11</v>
      </c>
      <c r="E21" s="66">
        <f>IF(ISNA(VLOOKUP($A21,'Прот.рез.Кр.-пох.'!$A:$AA,26,FALSE)),"н/у",IF(VLOOKUP($A21,'Прот.рез.Кр.-пох.'!$A:$AA,26,FALSE)="","н/у",VLOOKUP($A21,'Прот.рез.Кр.-пох.'!$A:$AA,26,FALSE)))</f>
        <v>14</v>
      </c>
      <c r="F21" s="93" t="s">
        <v>212</v>
      </c>
      <c r="G21" s="94">
        <f>IF(VLOOKUP($A21,'Іменні заявки'!$A:$J,7,FALSE)="","",IF(COUNTIF(D21:E21,"н/у")=0,SUM(D21:E21),IF(COUNTIF(D21:E21,"н/у")=2,"2 н/у",IF(COUNTIF(D21:E21,"н/у")&gt;=1,COUNTIF(D21:E21,"н/у")&amp;" н/у-"&amp;SUM(D21:E21),"—"))))</f>
        <v>25</v>
      </c>
      <c r="H21" s="297">
        <v>12</v>
      </c>
    </row>
    <row r="22" spans="1:8" ht="22.5" customHeight="1">
      <c r="A22" s="12">
        <v>110</v>
      </c>
      <c r="B22" s="63">
        <f>IF(ISTEXT(C22),COUNTIF(C$10:C22,"&lt;&gt;0"),"")</f>
        <v>13</v>
      </c>
      <c r="C22" s="64" t="str">
        <f>VLOOKUP(A22,'Іменні заявки'!$A:$J,7,FALSE)</f>
        <v>Новоушицького р-ну</v>
      </c>
      <c r="D22" s="66">
        <f>IF(ISNA(VLOOKUP($A22,'Проток.рез.КСП'!$A:$Y,24,FALSE)),"н/у",IF(VLOOKUP($A22,'Проток.рез.КСП'!$A:$Y,24,FALSE)="","н/у",VLOOKUP($A22,'Проток.рез.КСП'!$A:$Y,24,FALSE)))</f>
        <v>14</v>
      </c>
      <c r="E22" s="66">
        <f>IF(ISNA(VLOOKUP($A22,'Прот.рез.Кр.-пох.'!$A:$AA,26,FALSE)),"н/у",IF(VLOOKUP($A22,'Прот.рез.Кр.-пох.'!$A:$AA,26,FALSE)="","н/у",VLOOKUP($A22,'Прот.рез.Кр.-пох.'!$A:$AA,26,FALSE)))</f>
        <v>12</v>
      </c>
      <c r="F22" s="93" t="s">
        <v>212</v>
      </c>
      <c r="G22" s="94">
        <f>IF(VLOOKUP($A22,'Іменні заявки'!$A:$J,7,FALSE)="","",IF(COUNTIF(D22:E22,"н/у")=0,SUM(D22:E22),IF(COUNTIF(D22:E22,"н/у")=2,"2 н/у",IF(COUNTIF(D22:E22,"н/у")&gt;=1,COUNTIF(D22:E22,"н/у")&amp;" н/у-"&amp;SUM(D22:E22),"—"))))</f>
        <v>26</v>
      </c>
      <c r="H22" s="297">
        <v>13</v>
      </c>
    </row>
    <row r="23" spans="1:8" ht="22.5" customHeight="1">
      <c r="A23" s="12">
        <v>60</v>
      </c>
      <c r="B23" s="63">
        <f>IF(ISTEXT(C23),COUNTIF(C$10:C23,"&lt;&gt;0"),"")</f>
        <v>14</v>
      </c>
      <c r="C23" s="64" t="str">
        <f>VLOOKUP(A23,'Іменні заявки'!$A:$J,7,FALSE)</f>
        <v>Дунаєвецького р-ну</v>
      </c>
      <c r="D23" s="66">
        <f>IF(ISNA(VLOOKUP($A23,'Проток.рез.КСП'!$A:$Y,24,FALSE)),"н/у",IF(VLOOKUP($A23,'Проток.рез.КСП'!$A:$Y,24,FALSE)="","н/у",VLOOKUP($A23,'Проток.рез.КСП'!$A:$Y,24,FALSE)))</f>
        <v>15</v>
      </c>
      <c r="E23" s="66">
        <f>IF(ISNA(VLOOKUP($A23,'Прот.рез.Кр.-пох.'!$A:$AA,26,FALSE)),"н/у",IF(VLOOKUP($A23,'Прот.рез.Кр.-пох.'!$A:$AA,26,FALSE)="","н/у",VLOOKUP($A23,'Прот.рез.Кр.-пох.'!$A:$AA,26,FALSE)))</f>
        <v>15</v>
      </c>
      <c r="F23" s="93" t="s">
        <v>212</v>
      </c>
      <c r="G23" s="94">
        <f>IF(VLOOKUP($A23,'Іменні заявки'!$A:$J,7,FALSE)="","",IF(COUNTIF(D23:E23,"н/у")=0,SUM(D23:E23),IF(COUNTIF(D23:E23,"н/у")=2,"2 н/у",IF(COUNTIF(D23:E23,"н/у")&gt;=1,COUNTIF(D23:E23,"н/у")&amp;" н/у-"&amp;SUM(D23:E23),"—"))))</f>
        <v>30</v>
      </c>
      <c r="H23" s="297">
        <v>14</v>
      </c>
    </row>
    <row r="24" spans="1:8" ht="22.5" customHeight="1">
      <c r="A24" s="12">
        <v>20</v>
      </c>
      <c r="B24" s="63">
        <f>IF(ISTEXT(C24),COUNTIF(C$10:C24,"&lt;&gt;0"),"")</f>
        <v>15</v>
      </c>
      <c r="C24" s="64" t="str">
        <f>VLOOKUP(A24,'Іменні заявки'!$A:$J,7,FALSE)</f>
        <v>Віньковецького р-ну</v>
      </c>
      <c r="D24" s="66">
        <f>IF(ISNA(VLOOKUP($A24,'Проток.рез.КСП'!$A:$Y,24,FALSE)),"н/у",IF(VLOOKUP($A24,'Проток.рез.КСП'!$A:$Y,24,FALSE)="","н/у",VLOOKUP($A24,'Проток.рез.КСП'!$A:$Y,24,FALSE)))</f>
        <v>16</v>
      </c>
      <c r="E24" s="66">
        <f>IF(ISNA(VLOOKUP($A24,'Прот.рез.Кр.-пох.'!$A:$AA,26,FALSE)),"н/у",IF(VLOOKUP($A24,'Прот.рез.Кр.-пох.'!$A:$AA,26,FALSE)="","н/у",VLOOKUP($A24,'Прот.рез.Кр.-пох.'!$A:$AA,26,FALSE)))</f>
        <v>16</v>
      </c>
      <c r="F24" s="93" t="s">
        <v>212</v>
      </c>
      <c r="G24" s="94">
        <f>IF(VLOOKUP($A24,'Іменні заявки'!$A:$J,7,FALSE)="","",IF(COUNTIF(D24:E24,"н/у")=0,SUM(D24:E24),IF(COUNTIF(D24:E24,"н/у")=2,"2 н/у",IF(COUNTIF(D24:E24,"н/у")&gt;=1,COUNTIF(D24:E24,"н/у")&amp;" н/у-"&amp;SUM(D24:E24),"—"))))</f>
        <v>32</v>
      </c>
      <c r="H24" s="297">
        <v>15</v>
      </c>
    </row>
    <row r="25" spans="1:8" ht="22.5" customHeight="1">
      <c r="A25" s="12">
        <v>10</v>
      </c>
      <c r="B25" s="63">
        <f>IF(ISTEXT(C25),COUNTIF(C$10:C25,"&lt;&gt;0"),"")</f>
        <v>16</v>
      </c>
      <c r="C25" s="64" t="str">
        <f>VLOOKUP(A25,'Іменні заявки'!$A:$J,7,FALSE)</f>
        <v>Білогірського р-ну</v>
      </c>
      <c r="D25" s="66">
        <f>IF(ISNA(VLOOKUP($A25,'Проток.рез.КСП'!$A:$Y,24,FALSE)),"н/у",IF(VLOOKUP($A25,'Проток.рез.КСП'!$A:$Y,24,FALSE)="","н/у",VLOOKUP($A25,'Проток.рез.КСП'!$A:$Y,24,FALSE)))</f>
        <v>17</v>
      </c>
      <c r="E25" s="66">
        <f>IF(ISNA(VLOOKUP($A25,'Прот.рез.Кр.-пох.'!$A:$AA,26,FALSE)),"н/у",IF(VLOOKUP($A25,'Прот.рез.Кр.-пох.'!$A:$AA,26,FALSE)="","н/у",VLOOKUP($A25,'Прот.рез.Кр.-пох.'!$A:$AA,26,FALSE)))</f>
        <v>17</v>
      </c>
      <c r="F25" s="93" t="s">
        <v>212</v>
      </c>
      <c r="G25" s="94">
        <f>IF(VLOOKUP($A25,'Іменні заявки'!$A:$J,7,FALSE)="","",IF(COUNTIF(D25:E25,"н/у")=0,SUM(D25:E25),IF(COUNTIF(D25:E25,"н/у")=2,"2 н/у",IF(COUNTIF(D25:E25,"н/у")&gt;=1,COUNTIF(D25:E25,"н/у")&amp;" н/у-"&amp;SUM(D25:E25),"—"))))</f>
        <v>34</v>
      </c>
      <c r="H25" s="297">
        <v>16</v>
      </c>
    </row>
    <row r="26" spans="1:8" ht="22.5" customHeight="1" thickBot="1">
      <c r="A26" s="12">
        <v>90</v>
      </c>
      <c r="B26" s="63">
        <f>IF(ISTEXT(C26),COUNTIF(C$10:C26,"&lt;&gt;0"),"")</f>
        <v>17</v>
      </c>
      <c r="C26" s="64" t="str">
        <f>VLOOKUP(A26,'Іменні заявки'!$A:$J,7,FALSE)</f>
        <v>Красилівського р-ну</v>
      </c>
      <c r="D26" s="66">
        <f>IF(ISNA(VLOOKUP($A26,'Проток.рез.КСП'!$A:$Y,24,FALSE)),"н/у",IF(VLOOKUP($A26,'Проток.рез.КСП'!$A:$Y,24,FALSE)="","н/у",VLOOKUP($A26,'Проток.рез.КСП'!$A:$Y,24,FALSE)))</f>
        <v>13</v>
      </c>
      <c r="E26" s="66">
        <f>IF(ISNA(VLOOKUP($A26,'Прот.рез.Кр.-пох.'!$A:$AA,26,FALSE)),"н/у",IF(VLOOKUP($A26,'Прот.рез.Кр.-пох.'!$A:$AA,26,FALSE)="","н/у",VLOOKUP($A26,'Прот.рез.Кр.-пох.'!$A:$AA,26,FALSE)))</f>
        <v>13</v>
      </c>
      <c r="F26" s="93" t="s">
        <v>213</v>
      </c>
      <c r="G26" s="94">
        <f>IF(VLOOKUP($A26,'Іменні заявки'!$A:$J,7,FALSE)="","",IF(COUNTIF(D26:E26,"н/у")=0,SUM(D26:E26),IF(COUNTIF(D26:E26,"н/у")=2,"2 н/у",IF(COUNTIF(D26:E26,"н/у")&gt;=1,COUNTIF(D26:E26,"н/у")&amp;" н/у-"&amp;SUM(D26:E26),"—"))))</f>
        <v>26</v>
      </c>
      <c r="H26" s="297">
        <v>17</v>
      </c>
    </row>
    <row r="27" spans="1:8" ht="22.5" customHeight="1" hidden="1">
      <c r="A27" s="12">
        <v>130</v>
      </c>
      <c r="B27" s="63">
        <f>IF(ISTEXT(C27),COUNTIF(C$10:C27,"&lt;&gt;0"),"")</f>
      </c>
      <c r="C27" s="63">
        <f>VLOOKUP(A27,'Іменні заявки'!$A:$J,7,FALSE)</f>
        <v>0</v>
      </c>
      <c r="D27" s="66" t="str">
        <f>IF(ISNA(VLOOKUP($A27,'Проток.рез.КСП'!$A:$Y,24,FALSE)),"н/у",IF(VLOOKUP($A27,'Проток.рез.КСП'!$A:$Y,24,FALSE)="","н/у",VLOOKUP($A27,'Проток.рез.КСП'!$A:$Y,24,FALSE)))</f>
        <v>н/у</v>
      </c>
      <c r="E27" s="66" t="str">
        <f>IF(ISNA(VLOOKUP($A27,'Прот.рез.Кр.-пох.'!$A:$AA,26,FALSE)),"н/у",IF(VLOOKUP($A27,'Прот.рез.Кр.-пох.'!$A:$AA,26,FALSE)="","н/у",VLOOKUP($A27,'Прот.рез.Кр.-пох.'!$A:$AA,26,FALSE)))</f>
        <v>н/у</v>
      </c>
      <c r="F27" s="93" t="s">
        <v>90</v>
      </c>
      <c r="G27" s="94">
        <f>IF(VLOOKUP($A27,'Іменні заявки'!$A:$J,7,FALSE)="","",IF(COUNTIF(D27:E27,"н/у")=0,SUM(D27:E27),IF(COUNTIF(D27:E27,"н/у")=2,"2 н/у",IF(COUNTIF(D27:E27,"н/у")&gt;=1,COUNTIF(D27:E27,"н/у")&amp;" н/у-"&amp;SUM(D27:E27),"—"))))</f>
      </c>
      <c r="H27" s="66" t="s">
        <v>90</v>
      </c>
    </row>
    <row r="28" spans="1:8" ht="22.5" customHeight="1" hidden="1">
      <c r="A28" s="12">
        <v>80</v>
      </c>
      <c r="B28" s="63">
        <f>IF(ISTEXT(C28),COUNTIF(C$10:C28,"&lt;&gt;0"),"")</f>
      </c>
      <c r="C28" s="64">
        <f>VLOOKUP(A28,'Іменні заявки'!$A:$J,7,FALSE)</f>
        <v>0</v>
      </c>
      <c r="D28" s="66" t="str">
        <f>IF(ISNA(VLOOKUP($A28,'Проток.рез.КСП'!$A:$Y,24,FALSE)),"н/у",IF(VLOOKUP($A28,'Проток.рез.КСП'!$A:$Y,24,FALSE)="","н/у",VLOOKUP($A28,'Проток.рез.КСП'!$A:$Y,24,FALSE)))</f>
        <v>н/у</v>
      </c>
      <c r="E28" s="66" t="str">
        <f>IF(ISNA(VLOOKUP($A28,'Прот.рез.Кр.-пох.'!$A:$AA,26,FALSE)),"н/у",IF(VLOOKUP($A28,'Прот.рез.Кр.-пох.'!$A:$AA,26,FALSE)="","н/у",VLOOKUP($A28,'Прот.рез.Кр.-пох.'!$A:$AA,26,FALSE)))</f>
        <v>н/у</v>
      </c>
      <c r="F28" s="93" t="s">
        <v>90</v>
      </c>
      <c r="G28" s="94">
        <f>IF(VLOOKUP($A28,'Іменні заявки'!$A:$J,7,FALSE)="","",IF(COUNTIF(D28:E28,"н/у")=0,SUM(D28:E28),IF(COUNTIF(D28:E28,"н/у")=2,"2 н/у",IF(COUNTIF(D28:E28,"н/у")&gt;=1,COUNTIF(D28:E28,"н/у")&amp;" н/у-"&amp;SUM(D28:E28),"—"))))</f>
      </c>
      <c r="H28" s="66" t="s">
        <v>90</v>
      </c>
    </row>
    <row r="29" spans="1:8" ht="22.5" customHeight="1" hidden="1">
      <c r="A29" s="12">
        <v>70</v>
      </c>
      <c r="B29" s="95">
        <f>IF(ISTEXT(C29),COUNTIF(C$10:C29,"&lt;&gt;0"),"")</f>
      </c>
      <c r="C29" s="224">
        <f>VLOOKUP(A29,'Іменні заявки'!$A:$J,7,FALSE)</f>
        <v>0</v>
      </c>
      <c r="D29" s="236" t="str">
        <f>IF(ISNA(VLOOKUP($A29,'Проток.рез.КСП'!$A:$Y,24,FALSE)),"н/у",IF(VLOOKUP($A29,'Проток.рез.КСП'!$A:$Y,24,FALSE)="","н/у",VLOOKUP($A29,'Проток.рез.КСП'!$A:$Y,24,FALSE)))</f>
        <v>н/у</v>
      </c>
      <c r="E29" s="236" t="str">
        <f>IF(ISNA(VLOOKUP($A29,'Прот.рез.Кр.-пох.'!$A:$AA,26,FALSE)),"н/у",IF(VLOOKUP($A29,'Прот.рез.Кр.-пох.'!$A:$AA,26,FALSE)="","н/у",VLOOKUP($A29,'Прот.рез.Кр.-пох.'!$A:$AA,26,FALSE)))</f>
        <v>н/у</v>
      </c>
      <c r="F29" s="93" t="s">
        <v>90</v>
      </c>
      <c r="G29" s="237">
        <f>IF(VLOOKUP($A29,'Іменні заявки'!$A:$J,7,FALSE)="","",IF(COUNTIF(D29:E29,"н/у")=0,SUM(D29:E29),IF(COUNTIF(D29:E29,"н/у")=2,"2 н/у",IF(COUNTIF(D29:E29,"н/у")&gt;=1,COUNTIF(D29:E29,"н/у")&amp;" н/у-"&amp;SUM(D29:E29),"—"))))</f>
      </c>
      <c r="H29" s="66" t="s">
        <v>90</v>
      </c>
    </row>
    <row r="30" spans="1:8" ht="22.5" customHeight="1" hidden="1">
      <c r="A30" s="12">
        <v>100</v>
      </c>
      <c r="B30" s="63">
        <f>IF(ISTEXT(C30),COUNTIF(C$10:C30,"&lt;&gt;0"),"")</f>
      </c>
      <c r="C30" s="64">
        <f>VLOOKUP(A30,'Іменні заявки'!$A:$J,7,FALSE)</f>
        <v>0</v>
      </c>
      <c r="D30" s="66" t="str">
        <f>IF(ISNA(VLOOKUP($A30,'Проток.рез.КСП'!$A:$Y,24,FALSE)),"н/у",IF(VLOOKUP($A30,'Проток.рез.КСП'!$A:$Y,24,FALSE)="","н/у",VLOOKUP($A30,'Проток.рез.КСП'!$A:$Y,24,FALSE)))</f>
        <v>н/у</v>
      </c>
      <c r="E30" s="66" t="str">
        <f>IF(ISNA(VLOOKUP($A30,'Прот.рез.Кр.-пох.'!$A:$AA,26,FALSE)),"н/у",IF(VLOOKUP($A30,'Прот.рез.Кр.-пох.'!$A:$AA,26,FALSE)="","н/у",VLOOKUP($A30,'Прот.рез.Кр.-пох.'!$A:$AA,26,FALSE)))</f>
        <v>н/у</v>
      </c>
      <c r="F30" s="93" t="s">
        <v>90</v>
      </c>
      <c r="G30" s="237">
        <f>IF(VLOOKUP($A30,'Іменні заявки'!$A:$J,7,FALSE)="","",IF(COUNTIF(D30:E30,"н/у")=0,SUM(D30:E30),IF(COUNTIF(D30:E30,"н/у")=2,"2 н/у",IF(COUNTIF(D30:E30,"н/у")&gt;=1,COUNTIF(D30:E30,"н/у")&amp;" н/у-"&amp;SUM(D30:E30),"—"))))</f>
      </c>
      <c r="H30" s="66" t="s">
        <v>90</v>
      </c>
    </row>
    <row r="31" spans="1:8" ht="22.5" customHeight="1" hidden="1">
      <c r="A31" s="12">
        <v>160</v>
      </c>
      <c r="B31" s="63">
        <f>IF(ISTEXT(C31),COUNTIF(C$10:C31,"&lt;&gt;0"),"")</f>
      </c>
      <c r="C31" s="64">
        <f>VLOOKUP(A31,'Іменні заявки'!$A:$J,7,FALSE)</f>
        <v>0</v>
      </c>
      <c r="D31" s="66" t="str">
        <f>IF(ISNA(VLOOKUP($A31,'Проток.рез.КСП'!$A:$Y,24,FALSE)),"н/у",IF(VLOOKUP($A31,'Проток.рез.КСП'!$A:$Y,24,FALSE)="","н/у",VLOOKUP($A31,'Проток.рез.КСП'!$A:$Y,24,FALSE)))</f>
        <v>н/у</v>
      </c>
      <c r="E31" s="66" t="str">
        <f>IF(ISNA(VLOOKUP($A31,'Прот.рез.Кр.-пох.'!$A:$AA,26,FALSE)),"н/у",IF(VLOOKUP($A31,'Прот.рез.Кр.-пох.'!$A:$AA,26,FALSE)="","н/у",VLOOKUP($A31,'Прот.рез.Кр.-пох.'!$A:$AA,26,FALSE)))</f>
        <v>н/у</v>
      </c>
      <c r="F31" s="93" t="s">
        <v>90</v>
      </c>
      <c r="G31" s="237">
        <f>IF(VLOOKUP($A31,'Іменні заявки'!$A:$J,7,FALSE)="","",IF(COUNTIF(D31:E31,"н/у")=0,SUM(D31:E31),IF(COUNTIF(D31:E31,"н/у")=2,"2 н/у",IF(COUNTIF(D31:E31,"н/у")&gt;=1,COUNTIF(D31:E31,"н/у")&amp;" н/у-"&amp;SUM(D31:E31),"—"))))</f>
      </c>
      <c r="H31" s="66" t="s">
        <v>90</v>
      </c>
    </row>
    <row r="32" spans="1:8" ht="22.5" customHeight="1" hidden="1">
      <c r="A32" s="12">
        <v>30</v>
      </c>
      <c r="B32" s="63">
        <f>IF(ISTEXT(C32),COUNTIF(C$10:C32,"&lt;&gt;0"),"")</f>
      </c>
      <c r="C32" s="64">
        <f>VLOOKUP(A32,'Іменні заявки'!$A:$J,7,FALSE)</f>
        <v>0</v>
      </c>
      <c r="D32" s="66" t="str">
        <f>IF(ISNA(VLOOKUP($A32,'Проток.рез.КСП'!$A:$Y,24,FALSE)),"н/у",IF(VLOOKUP($A32,'Проток.рез.КСП'!$A:$Y,24,FALSE)="","н/у",VLOOKUP($A32,'Проток.рез.КСП'!$A:$Y,24,FALSE)))</f>
        <v>н/у</v>
      </c>
      <c r="E32" s="66" t="str">
        <f>IF(ISNA(VLOOKUP($A32,'Прот.рез.Кр.-пох.'!$A:$AA,26,FALSE)),"н/у",IF(VLOOKUP($A32,'Прот.рез.Кр.-пох.'!$A:$AA,26,FALSE)="","н/у",VLOOKUP($A32,'Прот.рез.Кр.-пох.'!$A:$AA,26,FALSE)))</f>
        <v>н/у</v>
      </c>
      <c r="F32" s="93" t="s">
        <v>90</v>
      </c>
      <c r="G32" s="237">
        <f>IF(VLOOKUP($A32,'Іменні заявки'!$A:$J,7,FALSE)="","",IF(COUNTIF(D32:E32,"н/у")=0,SUM(D32:E32),IF(COUNTIF(D32:E32,"н/у")=2,"2 н/у",IF(COUNTIF(D32:E32,"н/у")&gt;=1,COUNTIF(D32:E32,"н/у")&amp;" н/у-"&amp;SUM(D32:E32),"—"))))</f>
      </c>
      <c r="H32" s="66" t="s">
        <v>90</v>
      </c>
    </row>
    <row r="33" spans="1:8" ht="22.5" customHeight="1" hidden="1">
      <c r="A33" s="12">
        <v>40</v>
      </c>
      <c r="B33" s="63">
        <f>IF(ISTEXT(C33),COUNTIF(C$10:C33,"&lt;&gt;0"),"")</f>
      </c>
      <c r="C33" s="64">
        <f>VLOOKUP(A33,'Іменні заявки'!$A:$J,7,FALSE)</f>
        <v>0</v>
      </c>
      <c r="D33" s="66" t="str">
        <f>IF(ISNA(VLOOKUP($A33,'Проток.рез.КСП'!$A:$Y,24,FALSE)),"н/у",IF(VLOOKUP($A33,'Проток.рез.КСП'!$A:$Y,24,FALSE)="","н/у",VLOOKUP($A33,'Проток.рез.КСП'!$A:$Y,24,FALSE)))</f>
        <v>н/у</v>
      </c>
      <c r="E33" s="66" t="str">
        <f>IF(ISNA(VLOOKUP($A33,'Прот.рез.Кр.-пох.'!$A:$AA,26,FALSE)),"н/у",IF(VLOOKUP($A33,'Прот.рез.Кр.-пох.'!$A:$AA,26,FALSE)="","н/у",VLOOKUP($A33,'Прот.рез.Кр.-пох.'!$A:$AA,26,FALSE)))</f>
        <v>н/у</v>
      </c>
      <c r="F33" s="93" t="s">
        <v>90</v>
      </c>
      <c r="G33" s="237">
        <f>IF(VLOOKUP($A33,'Іменні заявки'!$A:$J,7,FALSE)="","",IF(COUNTIF(D33:E33,"н/у")=0,SUM(D33:E33),IF(COUNTIF(D33:E33,"н/у")=2,"2 н/у",IF(COUNTIF(D33:E33,"н/у")&gt;=1,COUNTIF(D33:E33,"н/у")&amp;" н/у-"&amp;SUM(D33:E33),"—"))))</f>
      </c>
      <c r="H33" s="66" t="s">
        <v>90</v>
      </c>
    </row>
    <row r="34" spans="1:8" ht="22.5" customHeight="1" hidden="1">
      <c r="A34" s="12">
        <v>270</v>
      </c>
      <c r="B34" s="63">
        <f>IF(ISTEXT(C34),COUNTIF(C$10:C34,"&lt;&gt;0"),"")</f>
      </c>
      <c r="C34" s="64">
        <f>VLOOKUP(A34,'Іменні заявки'!$A:$J,7,FALSE)</f>
        <v>0</v>
      </c>
      <c r="D34" s="66" t="str">
        <f>IF(ISNA(VLOOKUP($A34,'Проток.рез.КСП'!$A:$Y,24,FALSE)),"н/у",IF(VLOOKUP($A34,'Проток.рез.КСП'!$A:$Y,24,FALSE)="","н/у",VLOOKUP($A34,'Проток.рез.КСП'!$A:$Y,24,FALSE)))</f>
        <v>н/у</v>
      </c>
      <c r="E34" s="66" t="str">
        <f>IF(ISNA(VLOOKUP($A34,'Прот.рез.Кр.-пох.'!$A:$AA,26,FALSE)),"н/у",IF(VLOOKUP($A34,'Прот.рез.Кр.-пох.'!$A:$AA,26,FALSE)="","н/у",VLOOKUP($A34,'Прот.рез.Кр.-пох.'!$A:$AA,26,FALSE)))</f>
        <v>н/у</v>
      </c>
      <c r="F34" s="93" t="s">
        <v>90</v>
      </c>
      <c r="G34" s="237">
        <f>IF(VLOOKUP($A34,'Іменні заявки'!$A:$J,7,FALSE)="","",IF(COUNTIF(D34:E34,"н/у")=0,SUM(D34:E34),IF(COUNTIF(D34:E34,"н/у")=2,"2 н/у",IF(COUNTIF(D34:E34,"н/у")&gt;=1,COUNTIF(D34:E34,"н/у")&amp;" н/у-"&amp;SUM(D34:E34),"—"))))</f>
      </c>
      <c r="H34" s="66" t="s">
        <v>90</v>
      </c>
    </row>
    <row r="35" spans="1:8" ht="22.5" customHeight="1" hidden="1">
      <c r="A35" s="12">
        <v>150</v>
      </c>
      <c r="B35" s="63">
        <f>IF(ISTEXT(C35),COUNTIF(C$10:C35,"&lt;&gt;0"),"")</f>
      </c>
      <c r="C35" s="64">
        <f>VLOOKUP(A35,'Іменні заявки'!$A:$J,7,FALSE)</f>
        <v>0</v>
      </c>
      <c r="D35" s="66" t="str">
        <f>IF(ISNA(VLOOKUP($A35,'Проток.рез.КСП'!$A:$Y,24,FALSE)),"н/у",IF(VLOOKUP($A35,'Проток.рез.КСП'!$A:$Y,24,FALSE)="","н/у",VLOOKUP($A35,'Проток.рез.КСП'!$A:$Y,24,FALSE)))</f>
        <v>н/у</v>
      </c>
      <c r="E35" s="66" t="str">
        <f>IF(ISNA(VLOOKUP($A35,'Прот.рез.Кр.-пох.'!$A:$AA,26,FALSE)),"н/у",IF(VLOOKUP($A35,'Прот.рез.Кр.-пох.'!$A:$AA,26,FALSE)="","н/у",VLOOKUP($A35,'Прот.рез.Кр.-пох.'!$A:$AA,26,FALSE)))</f>
        <v>н/у</v>
      </c>
      <c r="F35" s="93" t="s">
        <v>90</v>
      </c>
      <c r="G35" s="237">
        <f>IF(VLOOKUP($A35,'Іменні заявки'!$A:$J,7,FALSE)="","",IF(COUNTIF(D35:E35,"н/у")=0,SUM(D35:E35),IF(COUNTIF(D35:E35,"н/у")=2,"2 н/у",IF(COUNTIF(D35:E35,"н/у")&gt;=1,COUNTIF(D35:E35,"н/у")&amp;" н/у-"&amp;SUM(D35:E35),"—"))))</f>
      </c>
      <c r="H35" s="66" t="s">
        <v>90</v>
      </c>
    </row>
    <row r="36" spans="1:8" ht="22.5" customHeight="1" hidden="1" thickBot="1">
      <c r="A36" s="12">
        <v>200</v>
      </c>
      <c r="B36" s="242">
        <f>IF(ISTEXT(C36),COUNTIF(C$10:C36,"&lt;&gt;0"),"")</f>
      </c>
      <c r="C36" s="243">
        <f>VLOOKUP(A36,'Іменні заявки'!$A:$J,7,FALSE)</f>
        <v>0</v>
      </c>
      <c r="D36" s="244" t="str">
        <f>IF(ISNA(VLOOKUP($A36,'Проток.рез.КСП'!$A:$Y,24,FALSE)),"н/у",IF(VLOOKUP($A36,'Проток.рез.КСП'!$A:$Y,24,FALSE)="","н/у",VLOOKUP($A36,'Проток.рез.КСП'!$A:$Y,24,FALSE)))</f>
        <v>н/у</v>
      </c>
      <c r="E36" s="244" t="str">
        <f>IF(ISNA(VLOOKUP($A36,'Прот.рез.Кр.-пох.'!$A:$AA,26,FALSE)),"н/у",IF(VLOOKUP($A36,'Прот.рез.Кр.-пох.'!$A:$AA,26,FALSE)="","н/у",VLOOKUP($A36,'Прот.рез.Кр.-пох.'!$A:$AA,26,FALSE)))</f>
        <v>н/у</v>
      </c>
      <c r="F36" s="245" t="s">
        <v>90</v>
      </c>
      <c r="G36" s="237">
        <f>IF(VLOOKUP($A36,'Іменні заявки'!$A:$J,7,FALSE)="","",IF(COUNTIF(D36:E36,"н/у")=0,SUM(D36:E36),IF(COUNTIF(D36:E36,"н/у")=2,"2 н/у",IF(COUNTIF(D36:E36,"н/у")&gt;=1,COUNTIF(D36:E36,"н/у")&amp;" н/у-"&amp;SUM(D36:E36),"—"))))</f>
      </c>
      <c r="H36" s="244" t="s">
        <v>90</v>
      </c>
    </row>
    <row r="37" spans="2:8" ht="15.75" customHeight="1">
      <c r="B37" s="241"/>
      <c r="C37" s="241"/>
      <c r="D37" s="241"/>
      <c r="E37" s="241"/>
      <c r="F37" s="241"/>
      <c r="G37" s="241"/>
      <c r="H37" s="241"/>
    </row>
    <row r="38" spans="2:6" ht="15.75">
      <c r="B38"/>
      <c r="C38" s="96" t="str">
        <f>"Головний суддя _________________ "&amp;'Іменні заявки'!$C$6</f>
        <v>Головний суддя _________________ Гринчук В.В.</v>
      </c>
      <c r="D38"/>
      <c r="E38"/>
      <c r="F38"/>
    </row>
    <row r="39" spans="2:6" ht="6.75" customHeight="1">
      <c r="B39"/>
      <c r="C39"/>
      <c r="D39"/>
      <c r="E39"/>
      <c r="F39"/>
    </row>
    <row r="40" spans="2:6" ht="15.75">
      <c r="B40"/>
      <c r="C40" s="96" t="str">
        <f>"Головний секретар _________________ "&amp;'Іменні заявки'!$C$7</f>
        <v>Головний секретар _________________ Кіретова І.О.</v>
      </c>
      <c r="D40"/>
      <c r="E40"/>
      <c r="F40"/>
    </row>
    <row r="41" spans="2:6" ht="12.75">
      <c r="B41"/>
      <c r="C41"/>
      <c r="D41"/>
      <c r="E41"/>
      <c r="F41"/>
    </row>
    <row r="42" spans="2:8" ht="14.25">
      <c r="B42"/>
      <c r="C42"/>
      <c r="D42"/>
      <c r="E42"/>
      <c r="F42" s="93" t="s">
        <v>212</v>
      </c>
      <c r="H42" s="66" t="s">
        <v>162</v>
      </c>
    </row>
    <row r="43" spans="2:8" ht="14.25">
      <c r="B43"/>
      <c r="C43"/>
      <c r="D43"/>
      <c r="E43"/>
      <c r="F43" s="93" t="s">
        <v>213</v>
      </c>
      <c r="H43" s="66" t="s">
        <v>90</v>
      </c>
    </row>
    <row r="44" ht="14.25">
      <c r="F44" s="93" t="s">
        <v>162</v>
      </c>
    </row>
    <row r="45" ht="14.25">
      <c r="F45" s="93" t="s">
        <v>90</v>
      </c>
    </row>
  </sheetData>
  <sheetProtection/>
  <mergeCells count="11">
    <mergeCell ref="B4:H4"/>
    <mergeCell ref="B1:H1"/>
    <mergeCell ref="B2:H2"/>
    <mergeCell ref="B3:H3"/>
    <mergeCell ref="G7:G9"/>
    <mergeCell ref="H7:H9"/>
    <mergeCell ref="B7:B9"/>
    <mergeCell ref="C7:C9"/>
    <mergeCell ref="D7:D9"/>
    <mergeCell ref="F7:F9"/>
    <mergeCell ref="E7:E9"/>
  </mergeCells>
  <printOptions horizontalCentered="1"/>
  <pageMargins left="0.984251968503937" right="0.3937007874015748" top="0.3937007874015748" bottom="0.3937007874015748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3"/>
  <sheetViews>
    <sheetView zoomScale="90" zoomScaleNormal="90" zoomScaleSheetLayoutView="90" workbookViewId="0" topLeftCell="A1">
      <pane xSplit="2" ySplit="9" topLeftCell="C10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8.875" defaultRowHeight="15.75" customHeight="1"/>
  <cols>
    <col min="1" max="1" width="5.375" style="7" customWidth="1"/>
    <col min="2" max="2" width="36.875" style="7" customWidth="1"/>
    <col min="3" max="3" width="12.375" style="7" customWidth="1"/>
    <col min="4" max="4" width="9.75390625" style="7" customWidth="1"/>
    <col min="5" max="5" width="9.75390625" style="7" hidden="1" customWidth="1"/>
    <col min="6" max="6" width="6.00390625" style="7" customWidth="1"/>
    <col min="7" max="7" width="29.25390625" style="4" customWidth="1"/>
    <col min="8" max="8" width="22.25390625" style="4" customWidth="1"/>
    <col min="9" max="9" width="15.125" style="4" hidden="1" customWidth="1"/>
    <col min="10" max="10" width="24.75390625" style="4" customWidth="1"/>
    <col min="11" max="11" width="9.00390625" style="7" customWidth="1"/>
    <col min="12" max="18" width="8.125" style="4" customWidth="1"/>
    <col min="19" max="24" width="7.25390625" style="4" customWidth="1"/>
    <col min="25" max="30" width="7.25390625" style="7" customWidth="1"/>
    <col min="31" max="37" width="5.75390625" style="7" customWidth="1"/>
    <col min="38" max="38" width="10.25390625" style="7" customWidth="1"/>
    <col min="39" max="43" width="9.00390625" style="7" customWidth="1"/>
    <col min="44" max="16384" width="8.875" style="7" customWidth="1"/>
  </cols>
  <sheetData>
    <row r="1" spans="3:24" ht="15.75" customHeight="1" hidden="1">
      <c r="C1" s="159" t="s">
        <v>261</v>
      </c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3:24" ht="15.75" customHeight="1" hidden="1">
      <c r="C2" s="7" t="s">
        <v>79</v>
      </c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3:24" ht="15.75" customHeight="1" hidden="1">
      <c r="C3" s="159" t="s">
        <v>339</v>
      </c>
      <c r="G3" s="7"/>
      <c r="H3" s="7"/>
      <c r="I3" s="7"/>
      <c r="J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3:24" ht="15.75" customHeight="1" hidden="1">
      <c r="C4" s="159" t="s">
        <v>340</v>
      </c>
      <c r="G4" s="7"/>
      <c r="H4" s="7"/>
      <c r="I4" s="7"/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3:24" ht="15.75" customHeight="1" hidden="1">
      <c r="C5" s="159" t="s">
        <v>341</v>
      </c>
      <c r="G5" s="7"/>
      <c r="H5" s="7"/>
      <c r="I5" s="7"/>
      <c r="J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5.75" customHeight="1" hidden="1">
      <c r="B6" s="7" t="s">
        <v>80</v>
      </c>
      <c r="C6" s="159" t="s">
        <v>338</v>
      </c>
      <c r="G6" s="7"/>
      <c r="H6" s="7"/>
      <c r="I6" s="7"/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2:24" ht="15.75" customHeight="1" hidden="1" thickBot="1">
      <c r="B7" s="7" t="s">
        <v>81</v>
      </c>
      <c r="C7" s="159" t="s">
        <v>206</v>
      </c>
      <c r="G7" s="7"/>
      <c r="H7" s="7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7:24" ht="15.75" customHeight="1" hidden="1" thickBot="1">
      <c r="G8" s="7"/>
      <c r="H8" s="7"/>
      <c r="I8" s="7"/>
      <c r="J8" s="7"/>
      <c r="L8" s="7"/>
      <c r="M8" s="7"/>
      <c r="N8" s="7"/>
      <c r="O8" s="169" t="s">
        <v>215</v>
      </c>
      <c r="P8" s="170"/>
      <c r="Q8" s="171" t="s">
        <v>106</v>
      </c>
      <c r="R8" s="171" t="s">
        <v>107</v>
      </c>
      <c r="S8" s="7"/>
      <c r="T8" s="7"/>
      <c r="U8" s="7"/>
      <c r="V8" s="7"/>
      <c r="W8" s="7"/>
      <c r="X8" s="7"/>
    </row>
    <row r="9" spans="1:43" s="4" customFormat="1" ht="68.25" customHeight="1" thickBot="1">
      <c r="A9" s="136" t="s">
        <v>39</v>
      </c>
      <c r="B9" s="136" t="s">
        <v>114</v>
      </c>
      <c r="C9" s="136" t="s">
        <v>82</v>
      </c>
      <c r="D9" s="136" t="s">
        <v>35</v>
      </c>
      <c r="E9" s="172" t="s">
        <v>0</v>
      </c>
      <c r="F9" s="136" t="s">
        <v>83</v>
      </c>
      <c r="G9" s="136" t="s">
        <v>40</v>
      </c>
      <c r="H9" s="136" t="s">
        <v>41</v>
      </c>
      <c r="I9" s="172" t="s">
        <v>84</v>
      </c>
      <c r="J9" s="373" t="s">
        <v>42</v>
      </c>
      <c r="K9" s="374"/>
      <c r="L9" s="173" t="s">
        <v>164</v>
      </c>
      <c r="M9" s="174" t="s">
        <v>166</v>
      </c>
      <c r="N9" s="175" t="s">
        <v>167</v>
      </c>
      <c r="O9" s="176" t="s">
        <v>163</v>
      </c>
      <c r="P9" s="177" t="s">
        <v>163</v>
      </c>
      <c r="Q9" s="178"/>
      <c r="R9" s="178"/>
      <c r="Y9" s="7"/>
      <c r="Z9" s="7"/>
      <c r="AA9" s="7"/>
      <c r="AB9" s="7"/>
      <c r="AC9" s="7"/>
      <c r="AD9" s="7"/>
      <c r="AE9" s="179" t="s">
        <v>72</v>
      </c>
      <c r="AF9" s="179" t="s">
        <v>71</v>
      </c>
      <c r="AG9" s="179" t="s">
        <v>70</v>
      </c>
      <c r="AH9" s="179" t="s">
        <v>37</v>
      </c>
      <c r="AI9" s="179" t="s">
        <v>85</v>
      </c>
      <c r="AJ9" s="179" t="s">
        <v>86</v>
      </c>
      <c r="AK9" s="179" t="s">
        <v>87</v>
      </c>
      <c r="AL9" s="440" t="s">
        <v>1</v>
      </c>
      <c r="AM9" s="441"/>
      <c r="AN9" s="441"/>
      <c r="AO9" s="441"/>
      <c r="AP9" s="441"/>
      <c r="AQ9" s="441"/>
    </row>
    <row r="10" spans="1:43" ht="15.75" customHeight="1" thickBot="1">
      <c r="A10" s="180">
        <v>10</v>
      </c>
      <c r="B10" s="181"/>
      <c r="C10" s="182"/>
      <c r="D10" s="183"/>
      <c r="E10" s="183"/>
      <c r="F10" s="183">
        <f>IF(OR(RIGHT($B10,3)="вич",RIGHT($B10,2)="іч"),"ч",IF(RIGHT($B10,3)="вна","ж",IF(ISBLANK($B10),"","?")))</f>
      </c>
      <c r="G10" s="181" t="s">
        <v>142</v>
      </c>
      <c r="H10" s="181" t="s">
        <v>43</v>
      </c>
      <c r="I10" s="181"/>
      <c r="J10" s="375"/>
      <c r="K10" s="376"/>
      <c r="L10" s="184">
        <v>10</v>
      </c>
      <c r="M10" s="185"/>
      <c r="N10" s="186"/>
      <c r="O10" s="186"/>
      <c r="P10" s="187"/>
      <c r="Q10" s="188"/>
      <c r="AE10" s="189" t="str">
        <f>IF(COUNTIF($D10:$D19,AE$9)=0,"—",COUNTIF($D10:$D19,AE$9))</f>
        <v>—</v>
      </c>
      <c r="AF10" s="189" t="str">
        <f>IF(COUNTIF($D10:$D19,AF$9)=0,"—",COUNTIF($D10:$D19,AF$9))</f>
        <v>—</v>
      </c>
      <c r="AG10" s="189" t="str">
        <f>IF(COUNTIF($D10:$D19,AG$9)=0,"—",COUNTIF($D10:$D19,AG$9))</f>
        <v>—</v>
      </c>
      <c r="AH10" s="189" t="str">
        <f>IF(COUNTIF($D10:$D19,AH$9)=0,"—",COUNTIF($D10:$D19,AH$9))</f>
        <v>—</v>
      </c>
      <c r="AI10" s="189" t="str">
        <f>IF(COUNTIF($D10:$D19,AI$9)=0,"—",COUNTIF($D10:$D19,AI$9))</f>
        <v>—</v>
      </c>
      <c r="AJ10" s="189">
        <f>IF(COUNTIF($F10:$F19,AJ$9)=0,"—",COUNTIF($F10:$F19,AJ$9))</f>
        <v>7</v>
      </c>
      <c r="AK10" s="189">
        <f>IF(COUNTIF($F10:$F19,AK$9)=0,"—",COUNTIF($F10:$F19,AK$9))</f>
        <v>1</v>
      </c>
      <c r="AL10" s="190" t="s">
        <v>2</v>
      </c>
      <c r="AM10" s="442" t="s">
        <v>3</v>
      </c>
      <c r="AN10" s="442"/>
      <c r="AO10" s="442"/>
      <c r="AP10" s="442"/>
      <c r="AQ10" s="442"/>
    </row>
    <row r="11" spans="1:43" ht="15.75" customHeight="1" thickBot="1">
      <c r="A11" s="191">
        <v>11</v>
      </c>
      <c r="B11" s="222" t="s">
        <v>300</v>
      </c>
      <c r="C11" s="193">
        <v>32554</v>
      </c>
      <c r="D11" s="194" t="s">
        <v>181</v>
      </c>
      <c r="E11" s="194"/>
      <c r="F11" s="194" t="str">
        <f aca="true" t="shared" si="0" ref="F11:F74">IF(OR(RIGHT($B11,3)="вич",RIGHT($B11,2)="іч"),"ч",IF(RIGHT($B11,3)="вна","ж",IF(ISBLANK($B11),"","?")))</f>
        <v>ч</v>
      </c>
      <c r="G11" s="192" t="str">
        <f>IF(G10="","",G10)</f>
        <v>Білогірського р-ну</v>
      </c>
      <c r="H11" s="192" t="str">
        <f>IF(H10="","",H10)</f>
        <v>Білогірський р-н</v>
      </c>
      <c r="I11" s="192">
        <f>IF(I10="","",I10)</f>
      </c>
      <c r="J11" s="377" t="s">
        <v>356</v>
      </c>
      <c r="K11" s="376"/>
      <c r="L11" s="7"/>
      <c r="M11" s="195">
        <v>10</v>
      </c>
      <c r="N11" s="196"/>
      <c r="O11" s="197"/>
      <c r="P11" s="197"/>
      <c r="Q11" s="198"/>
      <c r="R11" s="7"/>
      <c r="S11" s="7"/>
      <c r="T11" s="7"/>
      <c r="U11" s="7"/>
      <c r="V11" s="7"/>
      <c r="W11" s="7"/>
      <c r="X11" s="7"/>
      <c r="AE11" s="189"/>
      <c r="AF11" s="199"/>
      <c r="AG11" s="199"/>
      <c r="AH11" s="199"/>
      <c r="AI11" s="199"/>
      <c r="AJ11" s="199"/>
      <c r="AK11" s="199"/>
      <c r="AL11" s="190" t="s">
        <v>4</v>
      </c>
      <c r="AM11" s="442" t="s">
        <v>5</v>
      </c>
      <c r="AN11" s="442"/>
      <c r="AO11" s="442"/>
      <c r="AP11" s="442"/>
      <c r="AQ11" s="442"/>
    </row>
    <row r="12" spans="1:43" ht="15.75" customHeight="1" thickBot="1">
      <c r="A12" s="191">
        <v>12</v>
      </c>
      <c r="B12" s="222" t="s">
        <v>357</v>
      </c>
      <c r="C12" s="193">
        <v>33083</v>
      </c>
      <c r="D12" s="194" t="s">
        <v>181</v>
      </c>
      <c r="E12" s="194"/>
      <c r="F12" s="194" t="str">
        <f t="shared" si="0"/>
        <v>ч</v>
      </c>
      <c r="G12" s="192" t="str">
        <f>IF(G10="","",G10)</f>
        <v>Білогірського р-ну</v>
      </c>
      <c r="H12" s="192" t="str">
        <f>IF(H10="","",H10)</f>
        <v>Білогірський р-н</v>
      </c>
      <c r="I12" s="192">
        <f>IF(I10="","",I10)</f>
      </c>
      <c r="J12" s="377" t="s">
        <v>356</v>
      </c>
      <c r="K12" s="376"/>
      <c r="L12" s="7"/>
      <c r="M12" s="7"/>
      <c r="N12" s="200">
        <v>10</v>
      </c>
      <c r="O12" s="201"/>
      <c r="P12" s="202"/>
      <c r="Q12" s="202"/>
      <c r="R12" s="203"/>
      <c r="S12" s="7"/>
      <c r="T12" s="7"/>
      <c r="U12" s="7"/>
      <c r="V12" s="7"/>
      <c r="W12" s="7"/>
      <c r="X12" s="7"/>
      <c r="AE12" s="189"/>
      <c r="AF12" s="199"/>
      <c r="AG12" s="199"/>
      <c r="AH12" s="199"/>
      <c r="AI12" s="199"/>
      <c r="AJ12" s="199"/>
      <c r="AK12" s="199"/>
      <c r="AL12" s="190" t="s">
        <v>6</v>
      </c>
      <c r="AM12" s="442" t="s">
        <v>7</v>
      </c>
      <c r="AN12" s="442"/>
      <c r="AO12" s="442"/>
      <c r="AP12" s="442"/>
      <c r="AQ12" s="442"/>
    </row>
    <row r="13" spans="1:43" ht="15.75" customHeight="1" thickBot="1">
      <c r="A13" s="191">
        <v>13</v>
      </c>
      <c r="B13" s="222" t="s">
        <v>299</v>
      </c>
      <c r="C13" s="193">
        <v>33622</v>
      </c>
      <c r="D13" s="223" t="s">
        <v>181</v>
      </c>
      <c r="E13" s="194"/>
      <c r="F13" s="194" t="str">
        <f t="shared" si="0"/>
        <v>ч</v>
      </c>
      <c r="G13" s="192" t="str">
        <f>IF(G10="","",G10)</f>
        <v>Білогірського р-ну</v>
      </c>
      <c r="H13" s="192" t="str">
        <f>IF(H10="","",H10)</f>
        <v>Білогірський р-н</v>
      </c>
      <c r="I13" s="192">
        <f>IF(I10="","",I10)</f>
      </c>
      <c r="J13" s="377" t="s">
        <v>356</v>
      </c>
      <c r="K13" s="376"/>
      <c r="L13" s="7"/>
      <c r="M13" s="7"/>
      <c r="N13" s="204" t="s">
        <v>215</v>
      </c>
      <c r="O13" s="204">
        <v>10</v>
      </c>
      <c r="P13" s="205">
        <v>11</v>
      </c>
      <c r="Q13" s="205">
        <v>12</v>
      </c>
      <c r="R13" s="205">
        <v>14</v>
      </c>
      <c r="S13" s="205">
        <v>15</v>
      </c>
      <c r="T13" s="205">
        <v>16</v>
      </c>
      <c r="U13" s="206">
        <v>17</v>
      </c>
      <c r="V13" s="7"/>
      <c r="W13" s="7"/>
      <c r="X13" s="7"/>
      <c r="AE13" s="189"/>
      <c r="AF13" s="199"/>
      <c r="AG13" s="199"/>
      <c r="AH13" s="199"/>
      <c r="AI13" s="199"/>
      <c r="AJ13" s="199"/>
      <c r="AK13" s="199"/>
      <c r="AL13" s="190" t="s">
        <v>8</v>
      </c>
      <c r="AM13" s="442" t="s">
        <v>9</v>
      </c>
      <c r="AN13" s="442"/>
      <c r="AO13" s="442"/>
      <c r="AP13" s="442"/>
      <c r="AQ13" s="442"/>
    </row>
    <row r="14" spans="1:43" ht="15.75" customHeight="1" thickBot="1">
      <c r="A14" s="191">
        <v>14</v>
      </c>
      <c r="B14" s="222" t="s">
        <v>358</v>
      </c>
      <c r="C14" s="193">
        <v>34460</v>
      </c>
      <c r="D14" s="194" t="s">
        <v>181</v>
      </c>
      <c r="E14" s="194"/>
      <c r="F14" s="194" t="str">
        <f t="shared" si="0"/>
        <v>ж</v>
      </c>
      <c r="G14" s="192" t="str">
        <f>IF(G10="","",G10)</f>
        <v>Білогірського р-ну</v>
      </c>
      <c r="H14" s="192" t="str">
        <f>IF(H10="","",H10)</f>
        <v>Білогірський р-н</v>
      </c>
      <c r="I14" s="192">
        <f>IF(I10="","",I10)</f>
      </c>
      <c r="J14" s="377" t="s">
        <v>356</v>
      </c>
      <c r="K14" s="376"/>
      <c r="L14" s="7"/>
      <c r="M14" s="7"/>
      <c r="N14" s="7"/>
      <c r="O14" s="275"/>
      <c r="P14" s="275">
        <v>10</v>
      </c>
      <c r="Q14" s="276"/>
      <c r="R14" s="276"/>
      <c r="S14" s="276"/>
      <c r="T14" s="276"/>
      <c r="U14" s="276"/>
      <c r="V14" s="277"/>
      <c r="W14" s="7"/>
      <c r="X14" s="7"/>
      <c r="AE14" s="189"/>
      <c r="AF14" s="199"/>
      <c r="AG14" s="199"/>
      <c r="AH14" s="199"/>
      <c r="AI14" s="199"/>
      <c r="AJ14" s="199"/>
      <c r="AK14" s="199"/>
      <c r="AL14" s="190" t="s">
        <v>10</v>
      </c>
      <c r="AM14" s="442" t="s">
        <v>11</v>
      </c>
      <c r="AN14" s="442"/>
      <c r="AO14" s="442"/>
      <c r="AP14" s="442"/>
      <c r="AQ14" s="442"/>
    </row>
    <row r="15" spans="1:43" ht="15.75" customHeight="1" thickBot="1">
      <c r="A15" s="191">
        <v>15</v>
      </c>
      <c r="B15" s="222" t="s">
        <v>359</v>
      </c>
      <c r="C15" s="193">
        <v>31609</v>
      </c>
      <c r="D15" s="194" t="s">
        <v>181</v>
      </c>
      <c r="E15" s="194"/>
      <c r="F15" s="194" t="str">
        <f t="shared" si="0"/>
        <v>ч</v>
      </c>
      <c r="G15" s="192" t="str">
        <f>IF(G10="","",G10)</f>
        <v>Білогірського р-ну</v>
      </c>
      <c r="H15" s="192" t="str">
        <f>IF(H10="","",H10)</f>
        <v>Білогірський р-н</v>
      </c>
      <c r="I15" s="192">
        <f>IF(I10="","",I10)</f>
      </c>
      <c r="J15" s="377" t="s">
        <v>356</v>
      </c>
      <c r="K15" s="376"/>
      <c r="L15" s="7"/>
      <c r="M15" s="7"/>
      <c r="N15" s="7"/>
      <c r="O15" s="7"/>
      <c r="P15" s="207" t="s">
        <v>106</v>
      </c>
      <c r="Q15" s="207">
        <v>10</v>
      </c>
      <c r="R15" s="208"/>
      <c r="S15" s="208"/>
      <c r="T15" s="208"/>
      <c r="U15" s="208"/>
      <c r="V15" s="209"/>
      <c r="W15" s="208"/>
      <c r="X15" s="7"/>
      <c r="AE15" s="189"/>
      <c r="AF15" s="199"/>
      <c r="AG15" s="199"/>
      <c r="AH15" s="199"/>
      <c r="AI15" s="199"/>
      <c r="AJ15" s="199"/>
      <c r="AK15" s="199"/>
      <c r="AL15" s="190" t="s">
        <v>12</v>
      </c>
      <c r="AM15" s="442" t="s">
        <v>13</v>
      </c>
      <c r="AN15" s="442"/>
      <c r="AO15" s="442"/>
      <c r="AP15" s="442"/>
      <c r="AQ15" s="442"/>
    </row>
    <row r="16" spans="1:43" ht="15.75" customHeight="1">
      <c r="A16" s="191">
        <v>16</v>
      </c>
      <c r="B16" s="222" t="s">
        <v>360</v>
      </c>
      <c r="C16" s="193">
        <v>32202</v>
      </c>
      <c r="D16" s="194" t="s">
        <v>181</v>
      </c>
      <c r="E16" s="194"/>
      <c r="F16" s="194" t="str">
        <f t="shared" si="0"/>
        <v>ч</v>
      </c>
      <c r="G16" s="192" t="str">
        <f>IF(G10="","",G10)</f>
        <v>Білогірського р-ну</v>
      </c>
      <c r="H16" s="192" t="str">
        <f>IF(H10="","",H10)</f>
        <v>Білогірський р-н</v>
      </c>
      <c r="I16" s="192">
        <f>IF(I10="","",I10)</f>
      </c>
      <c r="J16" s="377" t="s">
        <v>356</v>
      </c>
      <c r="K16" s="376"/>
      <c r="L16" s="7"/>
      <c r="M16" s="7"/>
      <c r="N16" s="7"/>
      <c r="O16" s="7"/>
      <c r="P16" s="7"/>
      <c r="Q16" s="207" t="s">
        <v>107</v>
      </c>
      <c r="R16" s="207">
        <v>10</v>
      </c>
      <c r="S16" s="208"/>
      <c r="T16" s="208"/>
      <c r="U16" s="208"/>
      <c r="V16" s="208"/>
      <c r="W16" s="209"/>
      <c r="X16" s="208"/>
      <c r="AE16" s="189"/>
      <c r="AF16" s="199"/>
      <c r="AG16" s="199"/>
      <c r="AH16" s="199"/>
      <c r="AI16" s="199"/>
      <c r="AJ16" s="199"/>
      <c r="AK16" s="199"/>
      <c r="AL16" s="190" t="s">
        <v>14</v>
      </c>
      <c r="AM16" s="442" t="s">
        <v>15</v>
      </c>
      <c r="AN16" s="442"/>
      <c r="AO16" s="442"/>
      <c r="AP16" s="442"/>
      <c r="AQ16" s="442"/>
    </row>
    <row r="17" spans="1:43" ht="15.75" customHeight="1">
      <c r="A17" s="191">
        <v>17</v>
      </c>
      <c r="B17" s="222" t="s">
        <v>301</v>
      </c>
      <c r="C17" s="193">
        <v>33303</v>
      </c>
      <c r="D17" s="223" t="s">
        <v>181</v>
      </c>
      <c r="E17" s="194"/>
      <c r="F17" s="194" t="str">
        <f t="shared" si="0"/>
        <v>ч</v>
      </c>
      <c r="G17" s="192" t="str">
        <f>IF(G10="","",G10)</f>
        <v>Білогірського р-ну</v>
      </c>
      <c r="H17" s="192" t="str">
        <f>IF(H10="","",H10)</f>
        <v>Білогірський р-н</v>
      </c>
      <c r="I17" s="192">
        <f>IF(I10="","",I10)</f>
      </c>
      <c r="J17" s="377" t="s">
        <v>356</v>
      </c>
      <c r="K17" s="37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AE17" s="189"/>
      <c r="AF17" s="199"/>
      <c r="AG17" s="199"/>
      <c r="AH17" s="199"/>
      <c r="AI17" s="199"/>
      <c r="AJ17" s="199"/>
      <c r="AK17" s="199"/>
      <c r="AL17" s="190" t="s">
        <v>16</v>
      </c>
      <c r="AM17" s="238" t="s">
        <v>17</v>
      </c>
      <c r="AN17" s="238"/>
      <c r="AO17" s="238"/>
      <c r="AP17" s="238"/>
      <c r="AQ17" s="238"/>
    </row>
    <row r="18" spans="1:43" ht="15.75" customHeight="1">
      <c r="A18" s="191">
        <v>18</v>
      </c>
      <c r="B18" s="192" t="s">
        <v>188</v>
      </c>
      <c r="C18" s="193">
        <v>31854</v>
      </c>
      <c r="D18" s="194" t="s">
        <v>181</v>
      </c>
      <c r="E18" s="194"/>
      <c r="F18" s="194" t="str">
        <f t="shared" si="0"/>
        <v>ч</v>
      </c>
      <c r="G18" s="192" t="str">
        <f>IF(G10="","",G10)</f>
        <v>Білогірського р-ну</v>
      </c>
      <c r="H18" s="192" t="str">
        <f>IF(H10="","",H10)</f>
        <v>Білогірський р-н</v>
      </c>
      <c r="I18" s="192">
        <f>IF(I10="","",I10)</f>
      </c>
      <c r="J18" s="377" t="s">
        <v>356</v>
      </c>
      <c r="K18" s="37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AE18" s="189"/>
      <c r="AF18" s="199"/>
      <c r="AG18" s="199"/>
      <c r="AH18" s="199"/>
      <c r="AI18" s="199"/>
      <c r="AJ18" s="199"/>
      <c r="AK18" s="199"/>
      <c r="AL18" s="190" t="s">
        <v>18</v>
      </c>
      <c r="AM18" s="238" t="s">
        <v>19</v>
      </c>
      <c r="AN18" s="238"/>
      <c r="AO18" s="238"/>
      <c r="AP18" s="238"/>
      <c r="AQ18" s="238"/>
    </row>
    <row r="19" spans="1:43" ht="15.75" customHeight="1" thickBot="1">
      <c r="A19" s="191">
        <v>19</v>
      </c>
      <c r="B19" s="192"/>
      <c r="C19" s="193"/>
      <c r="D19" s="194"/>
      <c r="E19" s="194"/>
      <c r="F19" s="194">
        <f t="shared" si="0"/>
      </c>
      <c r="G19" s="192" t="str">
        <f>IF(G10="","",G10)</f>
        <v>Білогірського р-ну</v>
      </c>
      <c r="H19" s="192" t="str">
        <f>IF(H10="","",H10)</f>
        <v>Білогірський р-н</v>
      </c>
      <c r="I19" s="192">
        <f>IF(I10="","",I10)</f>
      </c>
      <c r="J19" s="378"/>
      <c r="K19" s="37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AE19" s="189"/>
      <c r="AF19" s="199"/>
      <c r="AG19" s="199"/>
      <c r="AH19" s="199"/>
      <c r="AI19" s="199"/>
      <c r="AJ19" s="199"/>
      <c r="AK19" s="199"/>
      <c r="AL19" s="190" t="s">
        <v>20</v>
      </c>
      <c r="AM19" s="443" t="s">
        <v>21</v>
      </c>
      <c r="AN19" s="443"/>
      <c r="AO19" s="443"/>
      <c r="AP19" s="443"/>
      <c r="AQ19" s="443"/>
    </row>
    <row r="20" spans="1:43" ht="15.75" customHeight="1" thickBot="1">
      <c r="A20" s="180">
        <v>20</v>
      </c>
      <c r="B20" s="181"/>
      <c r="C20" s="182"/>
      <c r="D20" s="183"/>
      <c r="E20" s="183"/>
      <c r="F20" s="183">
        <f t="shared" si="0"/>
      </c>
      <c r="G20" s="239" t="s">
        <v>57</v>
      </c>
      <c r="H20" s="239" t="s">
        <v>44</v>
      </c>
      <c r="I20" s="181"/>
      <c r="J20" s="375"/>
      <c r="K20" s="376"/>
      <c r="L20" s="184">
        <v>20</v>
      </c>
      <c r="M20" s="185"/>
      <c r="N20" s="186"/>
      <c r="O20" s="186"/>
      <c r="P20" s="187"/>
      <c r="Q20" s="7"/>
      <c r="R20" s="7"/>
      <c r="S20" s="7"/>
      <c r="T20" s="7"/>
      <c r="U20" s="7"/>
      <c r="V20" s="7"/>
      <c r="W20" s="7"/>
      <c r="X20" s="7"/>
      <c r="AE20" s="189" t="str">
        <f>IF(COUNTIF($D20:$D29,AE$9)=0,"—",COUNTIF($D20:$D29,AE$9))</f>
        <v>—</v>
      </c>
      <c r="AF20" s="189" t="str">
        <f>IF(COUNTIF($D20:$D29,AF$9)=0,"—",COUNTIF($D20:$D29,AF$9))</f>
        <v>—</v>
      </c>
      <c r="AG20" s="189" t="str">
        <f>IF(COUNTIF($D20:$D29,AG$9)=0,"—",COUNTIF($D20:$D29,AG$9))</f>
        <v>—</v>
      </c>
      <c r="AH20" s="189" t="str">
        <f>IF(COUNTIF($D20:$D29,AH$9)=0,"—",COUNTIF($D20:$D29,AH$9))</f>
        <v>—</v>
      </c>
      <c r="AI20" s="189" t="str">
        <f>IF(COUNTIF($D20:$D29,AI$9)=0,"—",COUNTIF($D20:$D29,AI$9))</f>
        <v>—</v>
      </c>
      <c r="AJ20" s="189">
        <f>IF(COUNTIF($F20:$F29,AJ$9)=0,"—",COUNTIF($F20:$F29,AJ$9))</f>
        <v>4</v>
      </c>
      <c r="AK20" s="189">
        <f>IF(COUNTIF($F20:$F29,AK$9)=0,"—",COUNTIF($F20:$F29,AK$9))</f>
        <v>3</v>
      </c>
      <c r="AL20" s="210" t="s">
        <v>22</v>
      </c>
      <c r="AM20" s="443" t="s">
        <v>23</v>
      </c>
      <c r="AN20" s="443"/>
      <c r="AO20" s="443"/>
      <c r="AP20" s="443"/>
      <c r="AQ20" s="443"/>
    </row>
    <row r="21" spans="1:43" ht="15.75" customHeight="1" thickBot="1">
      <c r="A21" s="191">
        <v>21</v>
      </c>
      <c r="B21" s="222" t="s">
        <v>396</v>
      </c>
      <c r="C21" s="193">
        <v>34075</v>
      </c>
      <c r="D21" s="194" t="s">
        <v>181</v>
      </c>
      <c r="E21" s="194"/>
      <c r="F21" s="194" t="str">
        <f t="shared" si="0"/>
        <v>ч</v>
      </c>
      <c r="G21" s="192" t="str">
        <f>IF(G20="","",G20)</f>
        <v>Віньковецького р-ну</v>
      </c>
      <c r="H21" s="192" t="str">
        <f>IF(H20="","",H20)</f>
        <v>Віньковецький р-н</v>
      </c>
      <c r="I21" s="192">
        <f>IF(I20="","",I20)</f>
      </c>
      <c r="J21" s="378" t="s">
        <v>144</v>
      </c>
      <c r="K21" s="376"/>
      <c r="L21" s="7"/>
      <c r="M21" s="195">
        <v>20</v>
      </c>
      <c r="N21" s="196"/>
      <c r="O21" s="197"/>
      <c r="P21" s="197"/>
      <c r="Q21" s="198"/>
      <c r="R21" s="7"/>
      <c r="S21" s="7"/>
      <c r="T21" s="7"/>
      <c r="U21" s="7"/>
      <c r="V21" s="7"/>
      <c r="W21" s="7"/>
      <c r="X21" s="7"/>
      <c r="AE21" s="189"/>
      <c r="AF21" s="199"/>
      <c r="AG21" s="199"/>
      <c r="AH21" s="199"/>
      <c r="AI21" s="199"/>
      <c r="AJ21" s="199"/>
      <c r="AK21" s="199"/>
      <c r="AL21" s="444" t="s">
        <v>24</v>
      </c>
      <c r="AM21" s="445"/>
      <c r="AN21" s="445"/>
      <c r="AO21" s="445"/>
      <c r="AP21" s="445"/>
      <c r="AQ21" s="445"/>
    </row>
    <row r="22" spans="1:38" ht="15.75" customHeight="1" thickBot="1">
      <c r="A22" s="191">
        <v>22</v>
      </c>
      <c r="B22" s="222" t="s">
        <v>289</v>
      </c>
      <c r="C22" s="193">
        <v>31811</v>
      </c>
      <c r="D22" s="194" t="s">
        <v>181</v>
      </c>
      <c r="E22" s="194"/>
      <c r="F22" s="194" t="str">
        <f t="shared" si="0"/>
        <v>ч</v>
      </c>
      <c r="G22" s="192" t="str">
        <f>IF(G20="","",G20)</f>
        <v>Віньковецького р-ну</v>
      </c>
      <c r="H22" s="192" t="str">
        <f>IF(H20="","",H20)</f>
        <v>Віньковецький р-н</v>
      </c>
      <c r="I22" s="192">
        <f>IF(I20="","",I20)</f>
      </c>
      <c r="J22" s="378" t="s">
        <v>144</v>
      </c>
      <c r="K22" s="376"/>
      <c r="L22" s="7"/>
      <c r="M22" s="7"/>
      <c r="N22" s="200">
        <v>20</v>
      </c>
      <c r="O22" s="201"/>
      <c r="P22" s="202"/>
      <c r="Q22" s="202"/>
      <c r="R22" s="203"/>
      <c r="S22" s="7"/>
      <c r="T22" s="7"/>
      <c r="U22" s="7"/>
      <c r="V22" s="7"/>
      <c r="W22" s="7"/>
      <c r="X22" s="7"/>
      <c r="AE22" s="189"/>
      <c r="AF22" s="199"/>
      <c r="AG22" s="199"/>
      <c r="AH22" s="199"/>
      <c r="AI22" s="199"/>
      <c r="AJ22" s="199"/>
      <c r="AK22" s="199"/>
      <c r="AL22" s="6" t="s">
        <v>73</v>
      </c>
    </row>
    <row r="23" spans="1:38" ht="15.75" customHeight="1" thickBot="1">
      <c r="A23" s="191">
        <v>23</v>
      </c>
      <c r="B23" s="192" t="s">
        <v>189</v>
      </c>
      <c r="C23" s="193">
        <v>30901</v>
      </c>
      <c r="D23" s="194" t="s">
        <v>181</v>
      </c>
      <c r="E23" s="194"/>
      <c r="F23" s="194" t="str">
        <f t="shared" si="0"/>
        <v>ж</v>
      </c>
      <c r="G23" s="192" t="str">
        <f>IF(G20="","",G20)</f>
        <v>Віньковецького р-ну</v>
      </c>
      <c r="H23" s="192" t="str">
        <f>IF(H20="","",H20)</f>
        <v>Віньковецький р-н</v>
      </c>
      <c r="I23" s="192">
        <f>IF(I20="","",I20)</f>
      </c>
      <c r="J23" s="378" t="s">
        <v>144</v>
      </c>
      <c r="K23" s="376"/>
      <c r="L23" s="7"/>
      <c r="M23" s="7"/>
      <c r="N23" s="204" t="s">
        <v>215</v>
      </c>
      <c r="O23" s="204">
        <v>20</v>
      </c>
      <c r="P23" s="205">
        <v>23</v>
      </c>
      <c r="Q23" s="205">
        <v>22</v>
      </c>
      <c r="R23" s="205">
        <v>25</v>
      </c>
      <c r="S23" s="205">
        <v>26</v>
      </c>
      <c r="T23" s="205">
        <v>24</v>
      </c>
      <c r="U23" s="206">
        <v>21</v>
      </c>
      <c r="V23" s="7"/>
      <c r="W23" s="7"/>
      <c r="X23" s="7"/>
      <c r="AE23" s="189"/>
      <c r="AF23" s="199"/>
      <c r="AG23" s="199"/>
      <c r="AH23" s="199"/>
      <c r="AI23" s="199"/>
      <c r="AJ23" s="199"/>
      <c r="AK23" s="199"/>
      <c r="AL23" s="6" t="s">
        <v>115</v>
      </c>
    </row>
    <row r="24" spans="1:38" ht="15.75" customHeight="1" thickBot="1">
      <c r="A24" s="191">
        <v>24</v>
      </c>
      <c r="B24" s="192" t="s">
        <v>190</v>
      </c>
      <c r="C24" s="193">
        <v>32480</v>
      </c>
      <c r="D24" s="194" t="s">
        <v>181</v>
      </c>
      <c r="E24" s="194"/>
      <c r="F24" s="194" t="str">
        <f t="shared" si="0"/>
        <v>ж</v>
      </c>
      <c r="G24" s="192" t="str">
        <f>IF(G20="","",G20)</f>
        <v>Віньковецького р-ну</v>
      </c>
      <c r="H24" s="192" t="str">
        <f>IF(H20="","",H20)</f>
        <v>Віньковецький р-н</v>
      </c>
      <c r="I24" s="192">
        <f>IF(I20="","",I20)</f>
      </c>
      <c r="J24" s="378" t="s">
        <v>144</v>
      </c>
      <c r="K24" s="376"/>
      <c r="L24" s="7"/>
      <c r="M24" s="7"/>
      <c r="N24" s="7"/>
      <c r="O24" s="275"/>
      <c r="P24" s="275">
        <v>20</v>
      </c>
      <c r="Q24" s="276"/>
      <c r="R24" s="276"/>
      <c r="S24" s="276"/>
      <c r="T24" s="276"/>
      <c r="U24" s="276"/>
      <c r="V24" s="277"/>
      <c r="W24" s="7"/>
      <c r="X24" s="7"/>
      <c r="AE24" s="189"/>
      <c r="AF24" s="199"/>
      <c r="AG24" s="199"/>
      <c r="AH24" s="199"/>
      <c r="AI24" s="199"/>
      <c r="AJ24" s="199"/>
      <c r="AK24" s="199"/>
      <c r="AL24" s="4"/>
    </row>
    <row r="25" spans="1:43" ht="15.75" customHeight="1" thickBot="1">
      <c r="A25" s="191">
        <v>25</v>
      </c>
      <c r="B25" s="222" t="s">
        <v>397</v>
      </c>
      <c r="C25" s="193">
        <v>34138</v>
      </c>
      <c r="D25" s="223" t="s">
        <v>181</v>
      </c>
      <c r="E25" s="194"/>
      <c r="F25" s="194" t="str">
        <f t="shared" si="0"/>
        <v>ч</v>
      </c>
      <c r="G25" s="192" t="str">
        <f>IF(G20="","",G20)</f>
        <v>Віньковецького р-ну</v>
      </c>
      <c r="H25" s="192" t="str">
        <f>IF(H20="","",H20)</f>
        <v>Віньковецький р-н</v>
      </c>
      <c r="I25" s="192">
        <f>IF(I20="","",I20)</f>
      </c>
      <c r="J25" s="378" t="s">
        <v>144</v>
      </c>
      <c r="K25" s="376"/>
      <c r="L25" s="7"/>
      <c r="M25" s="7"/>
      <c r="N25" s="7"/>
      <c r="O25" s="7"/>
      <c r="P25" s="207" t="s">
        <v>106</v>
      </c>
      <c r="Q25" s="207">
        <v>20</v>
      </c>
      <c r="R25" s="208"/>
      <c r="S25" s="208"/>
      <c r="T25" s="208"/>
      <c r="U25" s="208"/>
      <c r="V25" s="209"/>
      <c r="W25" s="208"/>
      <c r="X25" s="7"/>
      <c r="AE25" s="189"/>
      <c r="AF25" s="199"/>
      <c r="AG25" s="199"/>
      <c r="AH25" s="199"/>
      <c r="AI25" s="199"/>
      <c r="AJ25" s="199"/>
      <c r="AK25" s="199"/>
      <c r="AL25" s="4" t="s">
        <v>88</v>
      </c>
      <c r="AM25" s="6"/>
      <c r="AN25" s="6"/>
      <c r="AO25" s="6"/>
      <c r="AP25" s="4"/>
      <c r="AQ25" s="4"/>
    </row>
    <row r="26" spans="1:37" ht="15.75" customHeight="1">
      <c r="A26" s="191">
        <v>26</v>
      </c>
      <c r="B26" s="222" t="s">
        <v>398</v>
      </c>
      <c r="C26" s="193">
        <v>34235</v>
      </c>
      <c r="D26" s="194" t="s">
        <v>181</v>
      </c>
      <c r="E26" s="194"/>
      <c r="F26" s="194" t="str">
        <f t="shared" si="0"/>
        <v>ч</v>
      </c>
      <c r="G26" s="192" t="str">
        <f>IF(G20="","",G20)</f>
        <v>Віньковецького р-ну</v>
      </c>
      <c r="H26" s="192" t="str">
        <f>IF(H20="","",H20)</f>
        <v>Віньковецький р-н</v>
      </c>
      <c r="I26" s="192">
        <f>IF(I20="","",I20)</f>
      </c>
      <c r="J26" s="378" t="s">
        <v>144</v>
      </c>
      <c r="K26" s="376"/>
      <c r="L26" s="7"/>
      <c r="M26" s="7"/>
      <c r="N26" s="7"/>
      <c r="O26" s="7"/>
      <c r="P26" s="7"/>
      <c r="Q26" s="207" t="s">
        <v>107</v>
      </c>
      <c r="R26" s="207">
        <v>20</v>
      </c>
      <c r="S26" s="208"/>
      <c r="T26" s="208"/>
      <c r="U26" s="208"/>
      <c r="V26" s="208"/>
      <c r="W26" s="209"/>
      <c r="X26" s="208"/>
      <c r="AE26" s="189"/>
      <c r="AF26" s="199"/>
      <c r="AG26" s="199"/>
      <c r="AH26" s="199"/>
      <c r="AI26" s="199"/>
      <c r="AJ26" s="199"/>
      <c r="AK26" s="199"/>
    </row>
    <row r="27" spans="1:37" ht="15.75" customHeight="1">
      <c r="A27" s="191">
        <v>27</v>
      </c>
      <c r="B27" s="222" t="s">
        <v>399</v>
      </c>
      <c r="C27" s="193">
        <v>34226</v>
      </c>
      <c r="D27" s="194" t="s">
        <v>181</v>
      </c>
      <c r="E27" s="194"/>
      <c r="F27" s="194" t="str">
        <f t="shared" si="0"/>
        <v>ж</v>
      </c>
      <c r="G27" s="192" t="str">
        <f>IF(G20="","",G20)</f>
        <v>Віньковецького р-ну</v>
      </c>
      <c r="H27" s="192" t="str">
        <f>IF(H20="","",H20)</f>
        <v>Віньковецький р-н</v>
      </c>
      <c r="I27" s="192">
        <f>IF(I20="","",I20)</f>
      </c>
      <c r="J27" s="378" t="s">
        <v>144</v>
      </c>
      <c r="K27" s="37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AE27" s="189"/>
      <c r="AF27" s="199"/>
      <c r="AG27" s="199"/>
      <c r="AH27" s="199"/>
      <c r="AI27" s="199"/>
      <c r="AJ27" s="199"/>
      <c r="AK27" s="199"/>
    </row>
    <row r="28" spans="1:37" ht="15.75" customHeight="1">
      <c r="A28" s="191">
        <v>28</v>
      </c>
      <c r="B28" s="192"/>
      <c r="C28" s="193"/>
      <c r="D28" s="194"/>
      <c r="E28" s="194"/>
      <c r="F28" s="194">
        <f t="shared" si="0"/>
      </c>
      <c r="G28" s="192" t="str">
        <f>IF(G20="","",G20)</f>
        <v>Віньковецького р-ну</v>
      </c>
      <c r="H28" s="192" t="str">
        <f>IF(H20="","",H20)</f>
        <v>Віньковецький р-н</v>
      </c>
      <c r="I28" s="192">
        <f>IF(I20="","",I20)</f>
      </c>
      <c r="J28" s="378"/>
      <c r="K28" s="37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AE28" s="189"/>
      <c r="AF28" s="199"/>
      <c r="AG28" s="199"/>
      <c r="AH28" s="199"/>
      <c r="AI28" s="199"/>
      <c r="AJ28" s="199"/>
      <c r="AK28" s="199"/>
    </row>
    <row r="29" spans="1:37" ht="15.75" customHeight="1" thickBot="1">
      <c r="A29" s="191">
        <v>29</v>
      </c>
      <c r="B29" s="192"/>
      <c r="C29" s="193"/>
      <c r="D29" s="194"/>
      <c r="E29" s="194"/>
      <c r="F29" s="194">
        <f t="shared" si="0"/>
      </c>
      <c r="G29" s="192" t="str">
        <f>IF(G20="","",G20)</f>
        <v>Віньковецького р-ну</v>
      </c>
      <c r="H29" s="192" t="str">
        <f>IF(H20="","",H20)</f>
        <v>Віньковецький р-н</v>
      </c>
      <c r="I29" s="192">
        <f>IF(I20="","",I20)</f>
      </c>
      <c r="J29" s="378"/>
      <c r="K29" s="37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E29" s="189"/>
      <c r="AF29" s="199"/>
      <c r="AG29" s="199"/>
      <c r="AH29" s="199"/>
      <c r="AI29" s="199"/>
      <c r="AJ29" s="199"/>
      <c r="AK29" s="199"/>
    </row>
    <row r="30" spans="1:37" ht="15.75" customHeight="1" thickBot="1">
      <c r="A30" s="180">
        <v>30</v>
      </c>
      <c r="B30" s="181"/>
      <c r="C30" s="182"/>
      <c r="D30" s="183"/>
      <c r="E30" s="183"/>
      <c r="F30" s="183">
        <f t="shared" si="0"/>
      </c>
      <c r="G30" s="181"/>
      <c r="H30" s="181" t="s">
        <v>45</v>
      </c>
      <c r="I30" s="181"/>
      <c r="J30" s="375"/>
      <c r="K30" s="376"/>
      <c r="L30" s="184">
        <v>30</v>
      </c>
      <c r="M30" s="185"/>
      <c r="N30" s="186"/>
      <c r="O30" s="186"/>
      <c r="P30" s="187"/>
      <c r="Q30" s="7"/>
      <c r="R30" s="7"/>
      <c r="AE30" s="189" t="str">
        <f>IF(COUNTIF($D30:$D39,AE$9)=0,"—",COUNTIF($D30:$D39,AE$9))</f>
        <v>—</v>
      </c>
      <c r="AF30" s="189" t="str">
        <f>IF(COUNTIF($D30:$D39,AF$9)=0,"—",COUNTIF($D30:$D39,AF$9))</f>
        <v>—</v>
      </c>
      <c r="AG30" s="189" t="str">
        <f>IF(COUNTIF($D30:$D39,AG$9)=0,"—",COUNTIF($D30:$D39,AG$9))</f>
        <v>—</v>
      </c>
      <c r="AH30" s="189" t="str">
        <f>IF(COUNTIF($D30:$D39,AH$9)=0,"—",COUNTIF($D30:$D39,AH$9))</f>
        <v>—</v>
      </c>
      <c r="AI30" s="189" t="str">
        <f>IF(COUNTIF($D30:$D39,AI$9)=0,"—",COUNTIF($D30:$D39,AI$9))</f>
        <v>—</v>
      </c>
      <c r="AJ30" s="189" t="str">
        <f>IF(COUNTIF($F30:$F39,AJ$9)=0,"—",COUNTIF($F30:$F39,AJ$9))</f>
        <v>—</v>
      </c>
      <c r="AK30" s="189" t="str">
        <f>IF(COUNTIF($F30:$F39,AK$9)=0,"—",COUNTIF($F30:$F39,AK$9))</f>
        <v>—</v>
      </c>
    </row>
    <row r="31" spans="1:37" ht="15.75" customHeight="1" thickBot="1">
      <c r="A31" s="191">
        <v>31</v>
      </c>
      <c r="B31" s="192"/>
      <c r="C31" s="193"/>
      <c r="D31" s="194"/>
      <c r="E31" s="194"/>
      <c r="F31" s="194">
        <f t="shared" si="0"/>
      </c>
      <c r="G31" s="192">
        <f>IF(G30="","",G30)</f>
      </c>
      <c r="H31" s="192" t="str">
        <f>IF(H30="","",H30)</f>
        <v>Волочиський р-н</v>
      </c>
      <c r="I31" s="192">
        <f>IF(I30="","",I30)</f>
      </c>
      <c r="J31" s="378"/>
      <c r="K31" s="376"/>
      <c r="L31" s="7"/>
      <c r="M31" s="195">
        <v>30</v>
      </c>
      <c r="N31" s="196"/>
      <c r="O31" s="197"/>
      <c r="P31" s="197"/>
      <c r="Q31" s="198"/>
      <c r="R31" s="7"/>
      <c r="S31" s="7"/>
      <c r="T31" s="7"/>
      <c r="U31" s="7"/>
      <c r="V31" s="7"/>
      <c r="W31" s="7"/>
      <c r="X31" s="7"/>
      <c r="AE31" s="189"/>
      <c r="AF31" s="199"/>
      <c r="AG31" s="199"/>
      <c r="AH31" s="199"/>
      <c r="AI31" s="199"/>
      <c r="AJ31" s="199"/>
      <c r="AK31" s="199"/>
    </row>
    <row r="32" spans="1:37" ht="15.75" customHeight="1" thickBot="1">
      <c r="A32" s="191">
        <v>32</v>
      </c>
      <c r="B32" s="192"/>
      <c r="C32" s="193"/>
      <c r="D32" s="194"/>
      <c r="E32" s="194"/>
      <c r="F32" s="194">
        <f t="shared" si="0"/>
      </c>
      <c r="G32" s="192">
        <f>IF(G30="","",G30)</f>
      </c>
      <c r="H32" s="192" t="str">
        <f>IF(H30="","",H30)</f>
        <v>Волочиський р-н</v>
      </c>
      <c r="I32" s="192">
        <f>IF(I30="","",I30)</f>
      </c>
      <c r="J32" s="378"/>
      <c r="K32" s="376"/>
      <c r="L32" s="7"/>
      <c r="M32" s="7"/>
      <c r="N32" s="200">
        <v>30</v>
      </c>
      <c r="O32" s="201"/>
      <c r="P32" s="202"/>
      <c r="Q32" s="202"/>
      <c r="R32" s="203"/>
      <c r="S32" s="7"/>
      <c r="T32" s="7"/>
      <c r="U32" s="7"/>
      <c r="V32" s="7"/>
      <c r="W32" s="7"/>
      <c r="X32" s="7"/>
      <c r="AE32" s="189"/>
      <c r="AF32" s="199"/>
      <c r="AG32" s="199"/>
      <c r="AH32" s="199"/>
      <c r="AI32" s="199"/>
      <c r="AJ32" s="199"/>
      <c r="AK32" s="199"/>
    </row>
    <row r="33" spans="1:37" ht="15.75" customHeight="1" thickBot="1">
      <c r="A33" s="191">
        <v>33</v>
      </c>
      <c r="B33" s="192"/>
      <c r="C33" s="193"/>
      <c r="D33" s="194"/>
      <c r="E33" s="194"/>
      <c r="F33" s="194">
        <f t="shared" si="0"/>
      </c>
      <c r="G33" s="192">
        <f>IF(G30="","",G30)</f>
      </c>
      <c r="H33" s="192" t="str">
        <f>IF(H30="","",H30)</f>
        <v>Волочиський р-н</v>
      </c>
      <c r="I33" s="192">
        <f>IF(I30="","",I30)</f>
      </c>
      <c r="J33" s="378"/>
      <c r="K33" s="376"/>
      <c r="L33" s="7"/>
      <c r="M33" s="7"/>
      <c r="N33" s="204" t="s">
        <v>215</v>
      </c>
      <c r="O33" s="204">
        <v>30</v>
      </c>
      <c r="P33" s="205"/>
      <c r="Q33" s="205"/>
      <c r="R33" s="205"/>
      <c r="S33" s="205"/>
      <c r="T33" s="205"/>
      <c r="U33" s="206"/>
      <c r="V33" s="7"/>
      <c r="W33" s="7"/>
      <c r="X33" s="7"/>
      <c r="AE33" s="189"/>
      <c r="AF33" s="199"/>
      <c r="AG33" s="199"/>
      <c r="AH33" s="199"/>
      <c r="AI33" s="199"/>
      <c r="AJ33" s="199"/>
      <c r="AK33" s="199"/>
    </row>
    <row r="34" spans="1:37" ht="15.75" customHeight="1" thickBot="1">
      <c r="A34" s="191">
        <v>34</v>
      </c>
      <c r="B34" s="192"/>
      <c r="C34" s="193"/>
      <c r="D34" s="194"/>
      <c r="E34" s="194"/>
      <c r="F34" s="194">
        <f t="shared" si="0"/>
      </c>
      <c r="G34" s="192">
        <f>IF(G30="","",G30)</f>
      </c>
      <c r="H34" s="192" t="str">
        <f>IF(H30="","",H30)</f>
        <v>Волочиський р-н</v>
      </c>
      <c r="I34" s="192">
        <f>IF(I30="","",I30)</f>
      </c>
      <c r="J34" s="378"/>
      <c r="K34" s="376"/>
      <c r="L34" s="7"/>
      <c r="M34" s="7"/>
      <c r="N34" s="7"/>
      <c r="O34" s="275"/>
      <c r="P34" s="275">
        <v>30</v>
      </c>
      <c r="Q34" s="276"/>
      <c r="R34" s="276"/>
      <c r="S34" s="276"/>
      <c r="T34" s="276"/>
      <c r="U34" s="276"/>
      <c r="V34" s="277"/>
      <c r="W34" s="7"/>
      <c r="X34" s="7"/>
      <c r="AE34" s="189"/>
      <c r="AF34" s="199"/>
      <c r="AG34" s="199"/>
      <c r="AH34" s="199"/>
      <c r="AI34" s="199"/>
      <c r="AJ34" s="199"/>
      <c r="AK34" s="199"/>
    </row>
    <row r="35" spans="1:37" ht="15.75" customHeight="1" thickBot="1">
      <c r="A35" s="191">
        <v>35</v>
      </c>
      <c r="B35" s="192"/>
      <c r="C35" s="193"/>
      <c r="D35" s="194"/>
      <c r="E35" s="194"/>
      <c r="F35" s="194">
        <f t="shared" si="0"/>
      </c>
      <c r="G35" s="192">
        <f>IF(G30="","",G30)</f>
      </c>
      <c r="H35" s="192" t="str">
        <f>IF(H30="","",H30)</f>
        <v>Волочиський р-н</v>
      </c>
      <c r="I35" s="192">
        <f>IF(I30="","",I30)</f>
      </c>
      <c r="J35" s="378"/>
      <c r="K35" s="376"/>
      <c r="L35" s="7"/>
      <c r="M35" s="7"/>
      <c r="N35" s="7"/>
      <c r="O35" s="7"/>
      <c r="P35" s="207" t="s">
        <v>106</v>
      </c>
      <c r="Q35" s="207">
        <v>30</v>
      </c>
      <c r="R35" s="208"/>
      <c r="S35" s="208"/>
      <c r="T35" s="208"/>
      <c r="U35" s="208"/>
      <c r="V35" s="209"/>
      <c r="W35" s="208"/>
      <c r="X35" s="7"/>
      <c r="AE35" s="189"/>
      <c r="AF35" s="199"/>
      <c r="AG35" s="199"/>
      <c r="AH35" s="199"/>
      <c r="AI35" s="199"/>
      <c r="AJ35" s="199"/>
      <c r="AK35" s="199"/>
    </row>
    <row r="36" spans="1:37" ht="15.75" customHeight="1">
      <c r="A36" s="191">
        <v>36</v>
      </c>
      <c r="B36" s="192"/>
      <c r="C36" s="193"/>
      <c r="D36" s="194"/>
      <c r="E36" s="194"/>
      <c r="F36" s="194">
        <f t="shared" si="0"/>
      </c>
      <c r="G36" s="192">
        <f>IF(G30="","",G30)</f>
      </c>
      <c r="H36" s="192" t="str">
        <f>IF(H30="","",H30)</f>
        <v>Волочиський р-н</v>
      </c>
      <c r="I36" s="192">
        <f>IF(I30="","",I30)</f>
      </c>
      <c r="J36" s="378"/>
      <c r="K36" s="376"/>
      <c r="L36" s="7"/>
      <c r="M36" s="7"/>
      <c r="N36" s="7"/>
      <c r="O36" s="7"/>
      <c r="P36" s="7"/>
      <c r="Q36" s="207" t="s">
        <v>107</v>
      </c>
      <c r="R36" s="207">
        <v>30</v>
      </c>
      <c r="S36" s="208"/>
      <c r="T36" s="208"/>
      <c r="U36" s="208"/>
      <c r="V36" s="208"/>
      <c r="W36" s="209"/>
      <c r="X36" s="208"/>
      <c r="AE36" s="189"/>
      <c r="AF36" s="199"/>
      <c r="AG36" s="199"/>
      <c r="AH36" s="199"/>
      <c r="AI36" s="199"/>
      <c r="AJ36" s="199"/>
      <c r="AK36" s="199"/>
    </row>
    <row r="37" spans="1:37" ht="15.75" customHeight="1">
      <c r="A37" s="191">
        <v>37</v>
      </c>
      <c r="B37" s="192"/>
      <c r="C37" s="193"/>
      <c r="D37" s="194"/>
      <c r="E37" s="194"/>
      <c r="F37" s="194">
        <f t="shared" si="0"/>
      </c>
      <c r="G37" s="192">
        <f>IF(G30="","",G30)</f>
      </c>
      <c r="H37" s="192" t="str">
        <f>IF(H30="","",H30)</f>
        <v>Волочиський р-н</v>
      </c>
      <c r="I37" s="192">
        <f>IF(I30="","",I30)</f>
      </c>
      <c r="J37" s="378"/>
      <c r="K37" s="37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AE37" s="189"/>
      <c r="AF37" s="199"/>
      <c r="AG37" s="199"/>
      <c r="AH37" s="199"/>
      <c r="AI37" s="199"/>
      <c r="AJ37" s="199"/>
      <c r="AK37" s="199"/>
    </row>
    <row r="38" spans="1:37" ht="15.75" customHeight="1">
      <c r="A38" s="191">
        <v>38</v>
      </c>
      <c r="B38" s="192"/>
      <c r="C38" s="193"/>
      <c r="D38" s="194"/>
      <c r="E38" s="194"/>
      <c r="F38" s="194">
        <f t="shared" si="0"/>
      </c>
      <c r="G38" s="192">
        <f>IF(G30="","",G30)</f>
      </c>
      <c r="H38" s="192" t="str">
        <f>IF(H30="","",H30)</f>
        <v>Волочиський р-н</v>
      </c>
      <c r="I38" s="192">
        <f>IF(I30="","",I30)</f>
      </c>
      <c r="J38" s="378"/>
      <c r="K38" s="37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E38" s="189"/>
      <c r="AF38" s="199"/>
      <c r="AG38" s="199"/>
      <c r="AH38" s="199"/>
      <c r="AI38" s="199"/>
      <c r="AJ38" s="199"/>
      <c r="AK38" s="199"/>
    </row>
    <row r="39" spans="1:37" ht="15.75" customHeight="1" thickBot="1">
      <c r="A39" s="191">
        <v>39</v>
      </c>
      <c r="B39" s="192"/>
      <c r="C39" s="193"/>
      <c r="D39" s="194"/>
      <c r="E39" s="194"/>
      <c r="F39" s="194">
        <f t="shared" si="0"/>
      </c>
      <c r="G39" s="192">
        <f>IF(G30="","",G30)</f>
      </c>
      <c r="H39" s="192" t="str">
        <f>IF(H30="","",H30)</f>
        <v>Волочиський р-н</v>
      </c>
      <c r="I39" s="192">
        <f>IF(I30="","",I30)</f>
      </c>
      <c r="J39" s="378"/>
      <c r="K39" s="37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AE39" s="189"/>
      <c r="AF39" s="199"/>
      <c r="AG39" s="199"/>
      <c r="AH39" s="199"/>
      <c r="AI39" s="199"/>
      <c r="AJ39" s="199"/>
      <c r="AK39" s="199"/>
    </row>
    <row r="40" spans="1:37" ht="15.75" customHeight="1" thickBot="1">
      <c r="A40" s="180">
        <v>40</v>
      </c>
      <c r="B40" s="181"/>
      <c r="C40" s="182"/>
      <c r="D40" s="183"/>
      <c r="E40" s="183"/>
      <c r="F40" s="183">
        <f t="shared" si="0"/>
      </c>
      <c r="G40" s="181"/>
      <c r="H40" s="181" t="s">
        <v>46</v>
      </c>
      <c r="I40" s="181"/>
      <c r="J40" s="375"/>
      <c r="K40" s="376"/>
      <c r="L40" s="184">
        <v>40</v>
      </c>
      <c r="M40" s="185"/>
      <c r="N40" s="186"/>
      <c r="O40" s="186"/>
      <c r="P40" s="187"/>
      <c r="Q40" s="7"/>
      <c r="R40" s="7"/>
      <c r="AE40" s="189" t="str">
        <f>IF(COUNTIF($D40:$D49,AE$9)=0,"—",COUNTIF($D40:$D49,AE$9))</f>
        <v>—</v>
      </c>
      <c r="AF40" s="189" t="str">
        <f>IF(COUNTIF($D40:$D49,AF$9)=0,"—",COUNTIF($D40:$D49,AF$9))</f>
        <v>—</v>
      </c>
      <c r="AG40" s="189" t="str">
        <f>IF(COUNTIF($D40:$D49,AG$9)=0,"—",COUNTIF($D40:$D49,AG$9))</f>
        <v>—</v>
      </c>
      <c r="AH40" s="189" t="str">
        <f>IF(COUNTIF($D40:$D49,AH$9)=0,"—",COUNTIF($D40:$D49,AH$9))</f>
        <v>—</v>
      </c>
      <c r="AI40" s="189" t="str">
        <f>IF(COUNTIF($D40:$D49,AI$9)=0,"—",COUNTIF($D40:$D49,AI$9))</f>
        <v>—</v>
      </c>
      <c r="AJ40" s="189" t="str">
        <f>IF(COUNTIF($F40:$F49,AJ$9)=0,"—",COUNTIF($F40:$F49,AJ$9))</f>
        <v>—</v>
      </c>
      <c r="AK40" s="189" t="str">
        <f>IF(COUNTIF($F40:$F49,AK$9)=0,"—",COUNTIF($F40:$F49,AK$9))</f>
        <v>—</v>
      </c>
    </row>
    <row r="41" spans="1:37" ht="15.75" customHeight="1" thickBot="1">
      <c r="A41" s="191">
        <v>41</v>
      </c>
      <c r="B41" s="192"/>
      <c r="C41" s="193"/>
      <c r="D41" s="194"/>
      <c r="E41" s="194"/>
      <c r="F41" s="194">
        <f t="shared" si="0"/>
      </c>
      <c r="G41" s="192">
        <f>IF(G40="","",G40)</f>
      </c>
      <c r="H41" s="192" t="str">
        <f>IF(H40="","",H40)</f>
        <v>Городоцький р-н</v>
      </c>
      <c r="I41" s="192">
        <f>IF(I40="","",I40)</f>
      </c>
      <c r="J41" s="378"/>
      <c r="K41" s="376"/>
      <c r="L41" s="7"/>
      <c r="M41" s="195">
        <v>40</v>
      </c>
      <c r="N41" s="196"/>
      <c r="O41" s="197"/>
      <c r="P41" s="197"/>
      <c r="Q41" s="198"/>
      <c r="R41" s="7"/>
      <c r="S41" s="7"/>
      <c r="T41" s="7"/>
      <c r="U41" s="7"/>
      <c r="V41" s="7"/>
      <c r="W41" s="7"/>
      <c r="X41" s="7"/>
      <c r="AE41" s="189"/>
      <c r="AF41" s="199"/>
      <c r="AG41" s="199"/>
      <c r="AH41" s="199"/>
      <c r="AI41" s="199"/>
      <c r="AJ41" s="199"/>
      <c r="AK41" s="199"/>
    </row>
    <row r="42" spans="1:37" ht="15.75" customHeight="1" thickBot="1">
      <c r="A42" s="191">
        <v>42</v>
      </c>
      <c r="B42" s="192"/>
      <c r="C42" s="193"/>
      <c r="D42" s="194"/>
      <c r="E42" s="194"/>
      <c r="F42" s="194">
        <f t="shared" si="0"/>
      </c>
      <c r="G42" s="192">
        <f>IF(G40="","",G40)</f>
      </c>
      <c r="H42" s="192" t="str">
        <f>IF(H40="","",H40)</f>
        <v>Городоцький р-н</v>
      </c>
      <c r="I42" s="192">
        <f>IF(I40="","",I40)</f>
      </c>
      <c r="J42" s="378"/>
      <c r="K42" s="376"/>
      <c r="L42" s="7"/>
      <c r="M42" s="7"/>
      <c r="N42" s="200">
        <v>40</v>
      </c>
      <c r="O42" s="201"/>
      <c r="P42" s="202"/>
      <c r="Q42" s="202"/>
      <c r="R42" s="203"/>
      <c r="S42" s="7"/>
      <c r="T42" s="7"/>
      <c r="U42" s="7"/>
      <c r="V42" s="7"/>
      <c r="W42" s="7"/>
      <c r="X42" s="7"/>
      <c r="AE42" s="189"/>
      <c r="AF42" s="199"/>
      <c r="AG42" s="199"/>
      <c r="AH42" s="199"/>
      <c r="AI42" s="199"/>
      <c r="AJ42" s="199"/>
      <c r="AK42" s="199"/>
    </row>
    <row r="43" spans="1:37" ht="15.75" customHeight="1" thickBot="1">
      <c r="A43" s="191">
        <v>43</v>
      </c>
      <c r="B43" s="192"/>
      <c r="C43" s="193"/>
      <c r="D43" s="194"/>
      <c r="E43" s="194"/>
      <c r="F43" s="194">
        <f t="shared" si="0"/>
      </c>
      <c r="G43" s="192">
        <f>IF(G40="","",G40)</f>
      </c>
      <c r="H43" s="192" t="str">
        <f>IF(H40="","",H40)</f>
        <v>Городоцький р-н</v>
      </c>
      <c r="I43" s="192">
        <f>IF(I40="","",I40)</f>
      </c>
      <c r="J43" s="378"/>
      <c r="K43" s="376"/>
      <c r="L43" s="7"/>
      <c r="M43" s="7"/>
      <c r="N43" s="204" t="s">
        <v>215</v>
      </c>
      <c r="O43" s="204">
        <v>40</v>
      </c>
      <c r="P43" s="205"/>
      <c r="Q43" s="205"/>
      <c r="R43" s="205"/>
      <c r="S43" s="205"/>
      <c r="T43" s="205"/>
      <c r="U43" s="206"/>
      <c r="V43" s="7"/>
      <c r="W43" s="7"/>
      <c r="X43" s="7"/>
      <c r="AE43" s="189"/>
      <c r="AF43" s="199"/>
      <c r="AG43" s="199"/>
      <c r="AH43" s="199"/>
      <c r="AI43" s="199"/>
      <c r="AJ43" s="199"/>
      <c r="AK43" s="199"/>
    </row>
    <row r="44" spans="1:37" ht="15.75" customHeight="1" thickBot="1">
      <c r="A44" s="191">
        <v>44</v>
      </c>
      <c r="B44" s="192"/>
      <c r="C44" s="193"/>
      <c r="D44" s="194"/>
      <c r="E44" s="194"/>
      <c r="F44" s="194">
        <f t="shared" si="0"/>
      </c>
      <c r="G44" s="192">
        <f>IF(G40="","",G40)</f>
      </c>
      <c r="H44" s="192" t="str">
        <f>IF(H40="","",H40)</f>
        <v>Городоцький р-н</v>
      </c>
      <c r="I44" s="192">
        <f>IF(I40="","",I40)</f>
      </c>
      <c r="J44" s="378"/>
      <c r="K44" s="376"/>
      <c r="L44" s="7"/>
      <c r="M44" s="7"/>
      <c r="N44" s="7"/>
      <c r="O44" s="275"/>
      <c r="P44" s="275">
        <v>40</v>
      </c>
      <c r="Q44" s="276"/>
      <c r="R44" s="276"/>
      <c r="S44" s="276"/>
      <c r="T44" s="276"/>
      <c r="U44" s="276"/>
      <c r="V44" s="277"/>
      <c r="W44" s="7"/>
      <c r="X44" s="7"/>
      <c r="AE44" s="189"/>
      <c r="AF44" s="199"/>
      <c r="AG44" s="199"/>
      <c r="AH44" s="199"/>
      <c r="AI44" s="199"/>
      <c r="AJ44" s="199"/>
      <c r="AK44" s="199"/>
    </row>
    <row r="45" spans="1:37" ht="15.75" customHeight="1" thickBot="1">
      <c r="A45" s="191">
        <v>45</v>
      </c>
      <c r="B45" s="192"/>
      <c r="C45" s="193"/>
      <c r="D45" s="194"/>
      <c r="E45" s="194"/>
      <c r="F45" s="194">
        <f t="shared" si="0"/>
      </c>
      <c r="G45" s="192">
        <f>IF(G40="","",G40)</f>
      </c>
      <c r="H45" s="192" t="str">
        <f>IF(H40="","",H40)</f>
        <v>Городоцький р-н</v>
      </c>
      <c r="I45" s="192">
        <f>IF(I40="","",I40)</f>
      </c>
      <c r="J45" s="378"/>
      <c r="K45" s="376"/>
      <c r="L45" s="7"/>
      <c r="M45" s="7"/>
      <c r="N45" s="7"/>
      <c r="O45" s="7"/>
      <c r="P45" s="207" t="s">
        <v>106</v>
      </c>
      <c r="Q45" s="207">
        <v>40</v>
      </c>
      <c r="R45" s="208"/>
      <c r="S45" s="208"/>
      <c r="T45" s="208"/>
      <c r="U45" s="208"/>
      <c r="V45" s="209"/>
      <c r="W45" s="208"/>
      <c r="X45" s="7"/>
      <c r="AE45" s="189"/>
      <c r="AF45" s="199"/>
      <c r="AG45" s="199"/>
      <c r="AH45" s="199"/>
      <c r="AI45" s="199"/>
      <c r="AJ45" s="199"/>
      <c r="AK45" s="199"/>
    </row>
    <row r="46" spans="1:37" ht="15.75" customHeight="1">
      <c r="A46" s="191">
        <v>46</v>
      </c>
      <c r="B46" s="192"/>
      <c r="C46" s="193"/>
      <c r="D46" s="194"/>
      <c r="E46" s="194"/>
      <c r="F46" s="194">
        <f t="shared" si="0"/>
      </c>
      <c r="G46" s="192">
        <f>IF(G40="","",G40)</f>
      </c>
      <c r="H46" s="192" t="str">
        <f>IF(H40="","",H40)</f>
        <v>Городоцький р-н</v>
      </c>
      <c r="I46" s="192">
        <f>IF(I40="","",I40)</f>
      </c>
      <c r="J46" s="378"/>
      <c r="K46" s="376"/>
      <c r="L46" s="7"/>
      <c r="M46" s="7"/>
      <c r="N46" s="7"/>
      <c r="O46" s="7"/>
      <c r="P46" s="7"/>
      <c r="Q46" s="207" t="s">
        <v>107</v>
      </c>
      <c r="R46" s="207">
        <v>40</v>
      </c>
      <c r="S46" s="208"/>
      <c r="T46" s="208"/>
      <c r="U46" s="208"/>
      <c r="V46" s="208"/>
      <c r="W46" s="209"/>
      <c r="X46" s="208"/>
      <c r="AE46" s="189"/>
      <c r="AF46" s="199"/>
      <c r="AG46" s="199"/>
      <c r="AH46" s="199"/>
      <c r="AI46" s="199"/>
      <c r="AJ46" s="199"/>
      <c r="AK46" s="199"/>
    </row>
    <row r="47" spans="1:37" ht="15.75" customHeight="1">
      <c r="A47" s="191">
        <v>47</v>
      </c>
      <c r="B47" s="192"/>
      <c r="C47" s="193"/>
      <c r="D47" s="194"/>
      <c r="E47" s="194"/>
      <c r="F47" s="194">
        <f t="shared" si="0"/>
      </c>
      <c r="G47" s="192">
        <f>IF(G40="","",G40)</f>
      </c>
      <c r="H47" s="192" t="str">
        <f>IF(H40="","",H40)</f>
        <v>Городоцький р-н</v>
      </c>
      <c r="I47" s="192">
        <f>IF(I40="","",I40)</f>
      </c>
      <c r="J47" s="378"/>
      <c r="K47" s="37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AE47" s="189"/>
      <c r="AF47" s="199"/>
      <c r="AG47" s="199"/>
      <c r="AH47" s="199"/>
      <c r="AI47" s="199"/>
      <c r="AJ47" s="199"/>
      <c r="AK47" s="199"/>
    </row>
    <row r="48" spans="1:37" ht="15.75" customHeight="1">
      <c r="A48" s="191">
        <v>48</v>
      </c>
      <c r="B48" s="192"/>
      <c r="C48" s="193"/>
      <c r="D48" s="194"/>
      <c r="E48" s="194"/>
      <c r="F48" s="194">
        <f t="shared" si="0"/>
      </c>
      <c r="G48" s="192">
        <f>IF(G40="","",G40)</f>
      </c>
      <c r="H48" s="192" t="str">
        <f>IF(H40="","",H40)</f>
        <v>Городоцький р-н</v>
      </c>
      <c r="I48" s="192">
        <f>IF(I40="","",I40)</f>
      </c>
      <c r="J48" s="378"/>
      <c r="K48" s="37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AE48" s="189"/>
      <c r="AF48" s="199"/>
      <c r="AG48" s="199"/>
      <c r="AH48" s="199"/>
      <c r="AI48" s="199"/>
      <c r="AJ48" s="199"/>
      <c r="AK48" s="199"/>
    </row>
    <row r="49" spans="1:37" ht="15.75" customHeight="1" thickBot="1">
      <c r="A49" s="191">
        <v>49</v>
      </c>
      <c r="B49" s="192"/>
      <c r="C49" s="193"/>
      <c r="D49" s="194"/>
      <c r="E49" s="194"/>
      <c r="F49" s="194">
        <f t="shared" si="0"/>
      </c>
      <c r="G49" s="192">
        <f>IF(G40="","",G40)</f>
      </c>
      <c r="H49" s="192" t="str">
        <f>IF(H40="","",H40)</f>
        <v>Городоцький р-н</v>
      </c>
      <c r="I49" s="192">
        <f>IF(I40="","",I40)</f>
      </c>
      <c r="J49" s="378"/>
      <c r="K49" s="37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AE49" s="189"/>
      <c r="AF49" s="199"/>
      <c r="AG49" s="199"/>
      <c r="AH49" s="199"/>
      <c r="AI49" s="199"/>
      <c r="AJ49" s="199"/>
      <c r="AK49" s="199"/>
    </row>
    <row r="50" spans="1:37" ht="15.75" customHeight="1" thickBot="1">
      <c r="A50" s="180">
        <v>50</v>
      </c>
      <c r="B50" s="181"/>
      <c r="C50" s="182"/>
      <c r="D50" s="183"/>
      <c r="E50" s="183"/>
      <c r="F50" s="183">
        <f t="shared" si="0"/>
      </c>
      <c r="G50" s="181" t="s">
        <v>220</v>
      </c>
      <c r="H50" s="181" t="s">
        <v>47</v>
      </c>
      <c r="I50" s="181"/>
      <c r="J50" s="375"/>
      <c r="K50" s="376"/>
      <c r="L50" s="184">
        <v>50</v>
      </c>
      <c r="M50" s="185"/>
      <c r="N50" s="186"/>
      <c r="O50" s="186"/>
      <c r="P50" s="187"/>
      <c r="Q50" s="7"/>
      <c r="R50" s="7"/>
      <c r="AE50" s="189" t="str">
        <f>IF(COUNTIF($D50:$D59,AE$9)=0,"—",COUNTIF($D50:$D59,AE$9))</f>
        <v>—</v>
      </c>
      <c r="AF50" s="189">
        <f>IF(COUNTIF($D50:$D59,AF$9)=0,"—",COUNTIF($D50:$D59,AF$9))</f>
        <v>1</v>
      </c>
      <c r="AG50" s="189">
        <f>IF(COUNTIF($D50:$D59,AG$9)=0,"—",COUNTIF($D50:$D59,AG$9))</f>
        <v>1</v>
      </c>
      <c r="AH50" s="189" t="str">
        <f>IF(COUNTIF($D50:$D59,AH$9)=0,"—",COUNTIF($D50:$D59,AH$9))</f>
        <v>—</v>
      </c>
      <c r="AI50" s="189" t="str">
        <f>IF(COUNTIF($D50:$D59,AI$9)=0,"—",COUNTIF($D50:$D59,AI$9))</f>
        <v>—</v>
      </c>
      <c r="AJ50" s="189">
        <f>IF(COUNTIF($F50:$F59,AJ$9)=0,"—",COUNTIF($F50:$F59,AJ$9))</f>
        <v>4</v>
      </c>
      <c r="AK50" s="189">
        <f>IF(COUNTIF($F50:$F59,AK$9)=0,"—",COUNTIF($F50:$F59,AK$9))</f>
        <v>3</v>
      </c>
    </row>
    <row r="51" spans="1:37" ht="15.75" customHeight="1" thickBot="1">
      <c r="A51" s="191">
        <v>51</v>
      </c>
      <c r="B51" s="192" t="s">
        <v>221</v>
      </c>
      <c r="C51" s="193">
        <v>31793</v>
      </c>
      <c r="D51" s="194" t="s">
        <v>71</v>
      </c>
      <c r="E51" s="194"/>
      <c r="F51" s="194" t="str">
        <f t="shared" si="0"/>
        <v>ч</v>
      </c>
      <c r="G51" s="192" t="str">
        <f>IF(G50="","",G50)</f>
        <v>Деражнянського р-ну</v>
      </c>
      <c r="H51" s="192" t="str">
        <f>IF(H50="","",H50)</f>
        <v>Деражнянський р-н</v>
      </c>
      <c r="I51" s="192">
        <f>IF(I50="","",I50)</f>
      </c>
      <c r="J51" s="377" t="s">
        <v>395</v>
      </c>
      <c r="K51" s="376"/>
      <c r="L51" s="7"/>
      <c r="M51" s="195">
        <v>50</v>
      </c>
      <c r="N51" s="196"/>
      <c r="O51" s="197"/>
      <c r="P51" s="197"/>
      <c r="Q51" s="198"/>
      <c r="R51" s="7"/>
      <c r="S51" s="7"/>
      <c r="T51" s="7"/>
      <c r="U51" s="7"/>
      <c r="V51" s="7"/>
      <c r="W51" s="7"/>
      <c r="X51" s="7"/>
      <c r="AE51" s="189"/>
      <c r="AF51" s="199"/>
      <c r="AG51" s="199"/>
      <c r="AH51" s="199"/>
      <c r="AI51" s="199"/>
      <c r="AJ51" s="199"/>
      <c r="AK51" s="199"/>
    </row>
    <row r="52" spans="1:37" ht="15.75" customHeight="1" thickBot="1">
      <c r="A52" s="191">
        <v>52</v>
      </c>
      <c r="B52" s="222" t="s">
        <v>387</v>
      </c>
      <c r="C52" s="193">
        <v>32364</v>
      </c>
      <c r="D52" s="194" t="s">
        <v>181</v>
      </c>
      <c r="E52" s="194"/>
      <c r="F52" s="194" t="str">
        <f t="shared" si="0"/>
        <v>ж</v>
      </c>
      <c r="G52" s="192" t="str">
        <f>IF(G50="","",G50)</f>
        <v>Деражнянського р-ну</v>
      </c>
      <c r="H52" s="192" t="str">
        <f>IF(H50="","",H50)</f>
        <v>Деражнянський р-н</v>
      </c>
      <c r="I52" s="192">
        <f>IF(I50="","",I50)</f>
      </c>
      <c r="J52" s="377" t="s">
        <v>395</v>
      </c>
      <c r="K52" s="376"/>
      <c r="L52" s="7"/>
      <c r="M52" s="7"/>
      <c r="N52" s="200">
        <v>50</v>
      </c>
      <c r="O52" s="201"/>
      <c r="P52" s="202"/>
      <c r="Q52" s="202"/>
      <c r="R52" s="203"/>
      <c r="S52" s="7"/>
      <c r="T52" s="7"/>
      <c r="U52" s="7"/>
      <c r="V52" s="7"/>
      <c r="W52" s="7"/>
      <c r="X52" s="7"/>
      <c r="AE52" s="189"/>
      <c r="AF52" s="199"/>
      <c r="AG52" s="199"/>
      <c r="AH52" s="199"/>
      <c r="AI52" s="199"/>
      <c r="AJ52" s="199"/>
      <c r="AK52" s="199"/>
    </row>
    <row r="53" spans="1:37" ht="15.75" customHeight="1" thickBot="1">
      <c r="A53" s="191">
        <v>53</v>
      </c>
      <c r="B53" s="222" t="s">
        <v>388</v>
      </c>
      <c r="C53" s="193">
        <v>33672</v>
      </c>
      <c r="D53" s="194" t="s">
        <v>181</v>
      </c>
      <c r="E53" s="194"/>
      <c r="F53" s="194" t="str">
        <f t="shared" si="0"/>
        <v>ж</v>
      </c>
      <c r="G53" s="192" t="str">
        <f>IF(G50="","",G50)</f>
        <v>Деражнянського р-ну</v>
      </c>
      <c r="H53" s="192" t="str">
        <f>IF(H50="","",H50)</f>
        <v>Деражнянський р-н</v>
      </c>
      <c r="I53" s="192">
        <f>IF(I50="","",I50)</f>
      </c>
      <c r="J53" s="377" t="s">
        <v>395</v>
      </c>
      <c r="K53" s="376"/>
      <c r="L53" s="7"/>
      <c r="M53" s="7"/>
      <c r="N53" s="204" t="s">
        <v>215</v>
      </c>
      <c r="O53" s="204">
        <v>50</v>
      </c>
      <c r="P53" s="205">
        <v>55</v>
      </c>
      <c r="Q53" s="205">
        <v>53</v>
      </c>
      <c r="R53" s="205">
        <v>54</v>
      </c>
      <c r="S53" s="205">
        <v>52</v>
      </c>
      <c r="T53" s="205">
        <v>56</v>
      </c>
      <c r="U53" s="206">
        <v>51</v>
      </c>
      <c r="V53" s="7"/>
      <c r="W53" s="7"/>
      <c r="X53" s="7"/>
      <c r="AE53" s="189"/>
      <c r="AF53" s="199"/>
      <c r="AG53" s="199"/>
      <c r="AH53" s="199"/>
      <c r="AI53" s="199"/>
      <c r="AJ53" s="199"/>
      <c r="AK53" s="199"/>
    </row>
    <row r="54" spans="1:37" ht="15.75" customHeight="1" thickBot="1">
      <c r="A54" s="191">
        <v>54</v>
      </c>
      <c r="B54" s="222" t="s">
        <v>297</v>
      </c>
      <c r="C54" s="193">
        <v>32799</v>
      </c>
      <c r="D54" s="194" t="s">
        <v>181</v>
      </c>
      <c r="E54" s="194"/>
      <c r="F54" s="194" t="str">
        <f t="shared" si="0"/>
        <v>ч</v>
      </c>
      <c r="G54" s="192" t="str">
        <f>IF(G50="","",G50)</f>
        <v>Деражнянського р-ну</v>
      </c>
      <c r="H54" s="192" t="str">
        <f>IF(H50="","",H50)</f>
        <v>Деражнянський р-н</v>
      </c>
      <c r="I54" s="192">
        <f>IF(I50="","",I50)</f>
      </c>
      <c r="J54" s="377" t="s">
        <v>395</v>
      </c>
      <c r="K54" s="376"/>
      <c r="L54" s="7"/>
      <c r="M54" s="7"/>
      <c r="N54" s="7"/>
      <c r="O54" s="275"/>
      <c r="P54" s="275">
        <v>50</v>
      </c>
      <c r="Q54" s="276"/>
      <c r="R54" s="276"/>
      <c r="S54" s="276"/>
      <c r="T54" s="276"/>
      <c r="U54" s="276"/>
      <c r="V54" s="277"/>
      <c r="W54" s="7"/>
      <c r="X54" s="7"/>
      <c r="AE54" s="189"/>
      <c r="AF54" s="199"/>
      <c r="AG54" s="199"/>
      <c r="AH54" s="199"/>
      <c r="AI54" s="199"/>
      <c r="AJ54" s="199"/>
      <c r="AK54" s="199"/>
    </row>
    <row r="55" spans="1:37" ht="15.75" customHeight="1" thickBot="1">
      <c r="A55" s="191">
        <v>55</v>
      </c>
      <c r="B55" s="222" t="s">
        <v>389</v>
      </c>
      <c r="C55" s="193">
        <v>31950</v>
      </c>
      <c r="D55" s="194" t="s">
        <v>181</v>
      </c>
      <c r="E55" s="194"/>
      <c r="F55" s="194" t="str">
        <f t="shared" si="0"/>
        <v>ж</v>
      </c>
      <c r="G55" s="192" t="str">
        <f>IF(G50="","",G50)</f>
        <v>Деражнянського р-ну</v>
      </c>
      <c r="H55" s="192" t="str">
        <f>IF(H50="","",H50)</f>
        <v>Деражнянський р-н</v>
      </c>
      <c r="I55" s="192">
        <f>IF(I50="","",I50)</f>
      </c>
      <c r="J55" s="377" t="s">
        <v>395</v>
      </c>
      <c r="K55" s="376"/>
      <c r="L55" s="7"/>
      <c r="M55" s="7"/>
      <c r="N55" s="7"/>
      <c r="O55" s="7"/>
      <c r="P55" s="207" t="s">
        <v>106</v>
      </c>
      <c r="Q55" s="207">
        <v>50</v>
      </c>
      <c r="R55" s="208"/>
      <c r="S55" s="208"/>
      <c r="T55" s="208"/>
      <c r="U55" s="208"/>
      <c r="V55" s="209"/>
      <c r="W55" s="208"/>
      <c r="X55" s="7"/>
      <c r="AE55" s="189"/>
      <c r="AF55" s="199"/>
      <c r="AG55" s="199"/>
      <c r="AH55" s="199"/>
      <c r="AI55" s="199"/>
      <c r="AJ55" s="199"/>
      <c r="AK55" s="199"/>
    </row>
    <row r="56" spans="1:37" ht="15.75" customHeight="1">
      <c r="A56" s="191">
        <v>56</v>
      </c>
      <c r="B56" s="222" t="s">
        <v>222</v>
      </c>
      <c r="C56" s="193">
        <v>28868</v>
      </c>
      <c r="D56" s="194" t="s">
        <v>70</v>
      </c>
      <c r="E56" s="194"/>
      <c r="F56" s="194" t="str">
        <f t="shared" si="0"/>
        <v>ч</v>
      </c>
      <c r="G56" s="192" t="str">
        <f>IF(G50="","",G50)</f>
        <v>Деражнянського р-ну</v>
      </c>
      <c r="H56" s="192" t="str">
        <f>IF(H50="","",H50)</f>
        <v>Деражнянський р-н</v>
      </c>
      <c r="I56" s="192">
        <f>IF(I50="","",I50)</f>
      </c>
      <c r="J56" s="377" t="s">
        <v>395</v>
      </c>
      <c r="K56" s="376"/>
      <c r="L56" s="7"/>
      <c r="M56" s="7"/>
      <c r="N56" s="7"/>
      <c r="O56" s="7"/>
      <c r="P56" s="7"/>
      <c r="Q56" s="207" t="s">
        <v>107</v>
      </c>
      <c r="R56" s="207">
        <v>50</v>
      </c>
      <c r="S56" s="208"/>
      <c r="T56" s="208"/>
      <c r="U56" s="208"/>
      <c r="V56" s="208"/>
      <c r="W56" s="209"/>
      <c r="X56" s="208"/>
      <c r="AE56" s="189"/>
      <c r="AF56" s="199"/>
      <c r="AG56" s="199"/>
      <c r="AH56" s="199"/>
      <c r="AI56" s="199"/>
      <c r="AJ56" s="199"/>
      <c r="AK56" s="199"/>
    </row>
    <row r="57" spans="1:37" ht="15.75" customHeight="1">
      <c r="A57" s="191">
        <v>57</v>
      </c>
      <c r="B57" s="192" t="s">
        <v>298</v>
      </c>
      <c r="C57" s="193">
        <v>33116</v>
      </c>
      <c r="D57" s="194" t="s">
        <v>181</v>
      </c>
      <c r="E57" s="194"/>
      <c r="F57" s="194" t="str">
        <f t="shared" si="0"/>
        <v>ч</v>
      </c>
      <c r="G57" s="192" t="str">
        <f>IF(G50="","",G50)</f>
        <v>Деражнянського р-ну</v>
      </c>
      <c r="H57" s="192" t="str">
        <f>IF(H50="","",H50)</f>
        <v>Деражнянський р-н</v>
      </c>
      <c r="I57" s="192">
        <f>IF(I50="","",I50)</f>
      </c>
      <c r="J57" s="377" t="s">
        <v>395</v>
      </c>
      <c r="K57" s="37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AE57" s="189"/>
      <c r="AF57" s="199"/>
      <c r="AG57" s="199"/>
      <c r="AH57" s="199"/>
      <c r="AI57" s="199"/>
      <c r="AJ57" s="199"/>
      <c r="AK57" s="199"/>
    </row>
    <row r="58" spans="1:37" ht="15.75" customHeight="1">
      <c r="A58" s="191">
        <v>58</v>
      </c>
      <c r="B58" s="192"/>
      <c r="C58" s="193"/>
      <c r="D58" s="194"/>
      <c r="E58" s="194"/>
      <c r="F58" s="194">
        <f t="shared" si="0"/>
      </c>
      <c r="G58" s="192" t="str">
        <f>IF(G50="","",G50)</f>
        <v>Деражнянського р-ну</v>
      </c>
      <c r="H58" s="192" t="str">
        <f>IF(H50="","",H50)</f>
        <v>Деражнянський р-н</v>
      </c>
      <c r="I58" s="192">
        <f>IF(I50="","",I50)</f>
      </c>
      <c r="J58" s="377"/>
      <c r="K58" s="37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E58" s="189"/>
      <c r="AF58" s="199"/>
      <c r="AG58" s="199"/>
      <c r="AH58" s="199"/>
      <c r="AI58" s="199"/>
      <c r="AJ58" s="199"/>
      <c r="AK58" s="199"/>
    </row>
    <row r="59" spans="1:37" ht="15.75" customHeight="1" thickBot="1">
      <c r="A59" s="191">
        <v>59</v>
      </c>
      <c r="B59" s="192"/>
      <c r="C59" s="193"/>
      <c r="D59" s="194"/>
      <c r="E59" s="194"/>
      <c r="F59" s="194">
        <f t="shared" si="0"/>
      </c>
      <c r="G59" s="192" t="str">
        <f>IF(G50="","",G50)</f>
        <v>Деражнянського р-ну</v>
      </c>
      <c r="H59" s="192" t="str">
        <f>IF(H50="","",H50)</f>
        <v>Деражнянський р-н</v>
      </c>
      <c r="I59" s="192">
        <f>IF(I50="","",I50)</f>
      </c>
      <c r="J59" s="378"/>
      <c r="K59" s="37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AE59" s="189"/>
      <c r="AF59" s="199"/>
      <c r="AG59" s="199"/>
      <c r="AH59" s="199"/>
      <c r="AI59" s="199"/>
      <c r="AJ59" s="199"/>
      <c r="AK59" s="199"/>
    </row>
    <row r="60" spans="1:37" ht="15.75" customHeight="1" thickBot="1">
      <c r="A60" s="180">
        <v>60</v>
      </c>
      <c r="B60" s="181"/>
      <c r="C60" s="182"/>
      <c r="D60" s="183"/>
      <c r="E60" s="183"/>
      <c r="F60" s="183">
        <f t="shared" si="0"/>
      </c>
      <c r="G60" s="181" t="s">
        <v>74</v>
      </c>
      <c r="H60" s="181" t="s">
        <v>54</v>
      </c>
      <c r="I60" s="181"/>
      <c r="J60" s="375"/>
      <c r="K60" s="376"/>
      <c r="L60" s="184">
        <v>60</v>
      </c>
      <c r="M60" s="185"/>
      <c r="N60" s="186"/>
      <c r="O60" s="186"/>
      <c r="P60" s="187"/>
      <c r="Q60" s="7"/>
      <c r="R60" s="7"/>
      <c r="AE60" s="189">
        <f>IF(COUNTIF($D60:$D69,AE$9)=0,"—",COUNTIF($D60:$D69,AE$9))</f>
        <v>1</v>
      </c>
      <c r="AF60" s="189" t="str">
        <f>IF(COUNTIF($D60:$D69,AF$9)=0,"—",COUNTIF($D60:$D69,AF$9))</f>
        <v>—</v>
      </c>
      <c r="AG60" s="189" t="str">
        <f>IF(COUNTIF($D60:$D69,AG$9)=0,"—",COUNTIF($D60:$D69,AG$9))</f>
        <v>—</v>
      </c>
      <c r="AH60" s="189" t="str">
        <f>IF(COUNTIF($D60:$D69,AH$9)=0,"—",COUNTIF($D60:$D69,AH$9))</f>
        <v>—</v>
      </c>
      <c r="AI60" s="189" t="str">
        <f>IF(COUNTIF($D60:$D69,AI$9)=0,"—",COUNTIF($D60:$D69,AI$9))</f>
        <v>—</v>
      </c>
      <c r="AJ60" s="189">
        <f>IF(COUNTIF($F60:$F69,AJ$9)=0,"—",COUNTIF($F60:$F69,AJ$9))</f>
        <v>6</v>
      </c>
      <c r="AK60" s="189">
        <f>IF(COUNTIF($F60:$F69,AK$9)=0,"—",COUNTIF($F60:$F69,AK$9))</f>
        <v>2</v>
      </c>
    </row>
    <row r="61" spans="1:37" ht="15.75" customHeight="1" thickBot="1">
      <c r="A61" s="191">
        <v>61</v>
      </c>
      <c r="B61" s="192" t="s">
        <v>201</v>
      </c>
      <c r="C61" s="193">
        <v>27812</v>
      </c>
      <c r="D61" s="223" t="s">
        <v>72</v>
      </c>
      <c r="E61" s="194"/>
      <c r="F61" s="194" t="str">
        <f t="shared" si="0"/>
        <v>ч</v>
      </c>
      <c r="G61" s="192" t="str">
        <f>IF(G60="","",G60)</f>
        <v>Дунаєвецького р-ну</v>
      </c>
      <c r="H61" s="192" t="str">
        <f>IF(H60="","",H60)</f>
        <v>Дунаєвецький р-н</v>
      </c>
      <c r="I61" s="192">
        <f>IF(I60="","",I60)</f>
      </c>
      <c r="J61" s="378" t="s">
        <v>75</v>
      </c>
      <c r="K61" s="376"/>
      <c r="L61" s="7"/>
      <c r="M61" s="195">
        <v>60</v>
      </c>
      <c r="N61" s="196"/>
      <c r="O61" s="197"/>
      <c r="P61" s="197"/>
      <c r="Q61" s="198"/>
      <c r="R61" s="7"/>
      <c r="S61" s="7"/>
      <c r="T61" s="7"/>
      <c r="U61" s="7"/>
      <c r="V61" s="7"/>
      <c r="W61" s="7"/>
      <c r="X61" s="7"/>
      <c r="AE61" s="189"/>
      <c r="AF61" s="199"/>
      <c r="AG61" s="199"/>
      <c r="AH61" s="199"/>
      <c r="AI61" s="199"/>
      <c r="AJ61" s="199"/>
      <c r="AK61" s="199"/>
    </row>
    <row r="62" spans="1:37" ht="15.75" customHeight="1" thickBot="1">
      <c r="A62" s="191">
        <v>62</v>
      </c>
      <c r="B62" s="222" t="s">
        <v>204</v>
      </c>
      <c r="C62" s="193">
        <v>31701</v>
      </c>
      <c r="D62" s="223" t="s">
        <v>181</v>
      </c>
      <c r="E62" s="194"/>
      <c r="F62" s="194" t="str">
        <f t="shared" si="0"/>
        <v>ч</v>
      </c>
      <c r="G62" s="192" t="str">
        <f>IF(G60="","",G60)</f>
        <v>Дунаєвецького р-ну</v>
      </c>
      <c r="H62" s="192" t="str">
        <f>IF(H60="","",H60)</f>
        <v>Дунаєвецький р-н</v>
      </c>
      <c r="I62" s="192">
        <f>IF(I60="","",I60)</f>
      </c>
      <c r="J62" s="378" t="s">
        <v>75</v>
      </c>
      <c r="K62" s="376"/>
      <c r="L62" s="7"/>
      <c r="M62" s="7"/>
      <c r="N62" s="200">
        <v>60</v>
      </c>
      <c r="O62" s="201"/>
      <c r="P62" s="202"/>
      <c r="Q62" s="202"/>
      <c r="R62" s="203"/>
      <c r="S62" s="7"/>
      <c r="T62" s="7"/>
      <c r="U62" s="7"/>
      <c r="V62" s="7"/>
      <c r="W62" s="7"/>
      <c r="X62" s="7"/>
      <c r="AE62" s="189"/>
      <c r="AF62" s="199"/>
      <c r="AG62" s="199"/>
      <c r="AH62" s="199"/>
      <c r="AI62" s="199"/>
      <c r="AJ62" s="199"/>
      <c r="AK62" s="199"/>
    </row>
    <row r="63" spans="1:37" ht="15.75" customHeight="1" thickBot="1">
      <c r="A63" s="191">
        <v>63</v>
      </c>
      <c r="B63" s="222" t="s">
        <v>312</v>
      </c>
      <c r="C63" s="193">
        <v>30975</v>
      </c>
      <c r="D63" s="223" t="s">
        <v>181</v>
      </c>
      <c r="E63" s="194"/>
      <c r="F63" s="194" t="str">
        <f t="shared" si="0"/>
        <v>ч</v>
      </c>
      <c r="G63" s="192" t="str">
        <f>IF(G60="","",G60)</f>
        <v>Дунаєвецького р-ну</v>
      </c>
      <c r="H63" s="192" t="str">
        <f>IF(H60="","",H60)</f>
        <v>Дунаєвецький р-н</v>
      </c>
      <c r="I63" s="192">
        <f>IF(I60="","",I60)</f>
      </c>
      <c r="J63" s="378" t="s">
        <v>75</v>
      </c>
      <c r="K63" s="376"/>
      <c r="L63" s="7"/>
      <c r="M63" s="7"/>
      <c r="N63" s="204" t="s">
        <v>215</v>
      </c>
      <c r="O63" s="204">
        <v>60</v>
      </c>
      <c r="P63" s="205">
        <v>61</v>
      </c>
      <c r="Q63" s="205">
        <v>62</v>
      </c>
      <c r="R63" s="205">
        <v>63</v>
      </c>
      <c r="S63" s="205">
        <v>65</v>
      </c>
      <c r="T63" s="205">
        <v>66</v>
      </c>
      <c r="U63" s="206">
        <v>67</v>
      </c>
      <c r="V63" s="7"/>
      <c r="W63" s="7"/>
      <c r="X63" s="7"/>
      <c r="AE63" s="189"/>
      <c r="AF63" s="199"/>
      <c r="AG63" s="199"/>
      <c r="AH63" s="199"/>
      <c r="AI63" s="199"/>
      <c r="AJ63" s="199"/>
      <c r="AK63" s="199"/>
    </row>
    <row r="64" spans="1:37" ht="15.75" customHeight="1" thickBot="1">
      <c r="A64" s="191">
        <v>64</v>
      </c>
      <c r="B64" s="192" t="s">
        <v>203</v>
      </c>
      <c r="C64" s="193">
        <v>32745</v>
      </c>
      <c r="D64" s="223" t="s">
        <v>181</v>
      </c>
      <c r="E64" s="194"/>
      <c r="F64" s="194" t="str">
        <f t="shared" si="0"/>
        <v>ж</v>
      </c>
      <c r="G64" s="192" t="str">
        <f>IF(G60="","",G60)</f>
        <v>Дунаєвецького р-ну</v>
      </c>
      <c r="H64" s="192" t="str">
        <f>IF(H60="","",H60)</f>
        <v>Дунаєвецький р-н</v>
      </c>
      <c r="I64" s="192">
        <f>IF(I60="","",I60)</f>
      </c>
      <c r="J64" s="378" t="s">
        <v>75</v>
      </c>
      <c r="K64" s="376"/>
      <c r="L64" s="7"/>
      <c r="M64" s="7"/>
      <c r="N64" s="7"/>
      <c r="O64" s="275"/>
      <c r="P64" s="275">
        <v>60</v>
      </c>
      <c r="Q64" s="276"/>
      <c r="R64" s="276"/>
      <c r="S64" s="276"/>
      <c r="T64" s="276"/>
      <c r="U64" s="276"/>
      <c r="V64" s="277"/>
      <c r="W64" s="7"/>
      <c r="X64" s="7"/>
      <c r="AE64" s="189"/>
      <c r="AF64" s="199"/>
      <c r="AG64" s="199"/>
      <c r="AH64" s="199"/>
      <c r="AI64" s="199"/>
      <c r="AJ64" s="199"/>
      <c r="AK64" s="199"/>
    </row>
    <row r="65" spans="1:37" ht="15.75" customHeight="1" thickBot="1">
      <c r="A65" s="191">
        <v>65</v>
      </c>
      <c r="B65" s="192" t="s">
        <v>202</v>
      </c>
      <c r="C65" s="193">
        <v>32548</v>
      </c>
      <c r="D65" s="223" t="s">
        <v>181</v>
      </c>
      <c r="E65" s="194"/>
      <c r="F65" s="194" t="str">
        <f t="shared" si="0"/>
        <v>ч</v>
      </c>
      <c r="G65" s="192" t="str">
        <f>IF(G60="","",G60)</f>
        <v>Дунаєвецького р-ну</v>
      </c>
      <c r="H65" s="192" t="str">
        <f>IF(H60="","",H60)</f>
        <v>Дунаєвецький р-н</v>
      </c>
      <c r="I65" s="192">
        <f>IF(I60="","",I60)</f>
      </c>
      <c r="J65" s="378" t="s">
        <v>75</v>
      </c>
      <c r="K65" s="376"/>
      <c r="L65" s="7"/>
      <c r="M65" s="7"/>
      <c r="N65" s="7"/>
      <c r="O65" s="7"/>
      <c r="P65" s="207" t="s">
        <v>106</v>
      </c>
      <c r="Q65" s="207">
        <v>60</v>
      </c>
      <c r="R65" s="208"/>
      <c r="S65" s="208"/>
      <c r="T65" s="208"/>
      <c r="U65" s="208"/>
      <c r="V65" s="209"/>
      <c r="W65" s="208"/>
      <c r="X65" s="7"/>
      <c r="AE65" s="189"/>
      <c r="AF65" s="199"/>
      <c r="AG65" s="199"/>
      <c r="AH65" s="199"/>
      <c r="AI65" s="199"/>
      <c r="AJ65" s="199"/>
      <c r="AK65" s="199"/>
    </row>
    <row r="66" spans="1:37" ht="15.75" customHeight="1">
      <c r="A66" s="191">
        <v>66</v>
      </c>
      <c r="B66" s="222" t="s">
        <v>205</v>
      </c>
      <c r="C66" s="193">
        <v>31301</v>
      </c>
      <c r="D66" s="223" t="s">
        <v>181</v>
      </c>
      <c r="E66" s="194"/>
      <c r="F66" s="194" t="str">
        <f t="shared" si="0"/>
        <v>ч</v>
      </c>
      <c r="G66" s="192" t="str">
        <f>IF(G60="","",G60)</f>
        <v>Дунаєвецького р-ну</v>
      </c>
      <c r="H66" s="192" t="str">
        <f>IF(H60="","",H60)</f>
        <v>Дунаєвецький р-н</v>
      </c>
      <c r="I66" s="192">
        <f>IF(I60="","",I60)</f>
      </c>
      <c r="J66" s="378" t="s">
        <v>75</v>
      </c>
      <c r="K66" s="376"/>
      <c r="L66" s="7"/>
      <c r="M66" s="7"/>
      <c r="N66" s="7"/>
      <c r="O66" s="7"/>
      <c r="P66" s="7"/>
      <c r="Q66" s="207" t="s">
        <v>107</v>
      </c>
      <c r="R66" s="207">
        <v>60</v>
      </c>
      <c r="S66" s="208"/>
      <c r="T66" s="208"/>
      <c r="U66" s="208"/>
      <c r="V66" s="208"/>
      <c r="W66" s="209"/>
      <c r="X66" s="208"/>
      <c r="AE66" s="189"/>
      <c r="AF66" s="199"/>
      <c r="AG66" s="199"/>
      <c r="AH66" s="199"/>
      <c r="AI66" s="199"/>
      <c r="AJ66" s="199"/>
      <c r="AK66" s="199"/>
    </row>
    <row r="67" spans="1:37" ht="15.75" customHeight="1">
      <c r="A67" s="191">
        <v>67</v>
      </c>
      <c r="B67" s="222" t="s">
        <v>404</v>
      </c>
      <c r="C67" s="193">
        <v>31711</v>
      </c>
      <c r="D67" s="223" t="s">
        <v>181</v>
      </c>
      <c r="E67" s="194"/>
      <c r="F67" s="194" t="str">
        <f t="shared" si="0"/>
        <v>ч</v>
      </c>
      <c r="G67" s="192" t="str">
        <f>IF(G60="","",G60)</f>
        <v>Дунаєвецького р-ну</v>
      </c>
      <c r="H67" s="192" t="str">
        <f>IF(H60="","",H60)</f>
        <v>Дунаєвецький р-н</v>
      </c>
      <c r="I67" s="192">
        <f>IF(I60="","",I60)</f>
      </c>
      <c r="J67" s="378" t="s">
        <v>75</v>
      </c>
      <c r="K67" s="37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AE67" s="189"/>
      <c r="AF67" s="199"/>
      <c r="AG67" s="199"/>
      <c r="AH67" s="199"/>
      <c r="AI67" s="199"/>
      <c r="AJ67" s="199"/>
      <c r="AK67" s="199"/>
    </row>
    <row r="68" spans="1:37" ht="15.75" customHeight="1">
      <c r="A68" s="191">
        <v>68</v>
      </c>
      <c r="B68" s="222" t="s">
        <v>405</v>
      </c>
      <c r="C68" s="193">
        <v>32396</v>
      </c>
      <c r="D68" s="223" t="s">
        <v>181</v>
      </c>
      <c r="E68" s="194"/>
      <c r="F68" s="194" t="str">
        <f t="shared" si="0"/>
        <v>ж</v>
      </c>
      <c r="G68" s="222" t="str">
        <f>IF(G60="","",G60)</f>
        <v>Дунаєвецького р-ну</v>
      </c>
      <c r="H68" s="222" t="str">
        <f>IF(H60="","",H60)</f>
        <v>Дунаєвецький р-н</v>
      </c>
      <c r="I68" s="192">
        <f>IF(I60="","",I60)</f>
      </c>
      <c r="J68" s="377" t="s">
        <v>75</v>
      </c>
      <c r="K68" s="37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AE68" s="189"/>
      <c r="AF68" s="199"/>
      <c r="AG68" s="199"/>
      <c r="AH68" s="199"/>
      <c r="AI68" s="199"/>
      <c r="AJ68" s="199"/>
      <c r="AK68" s="199"/>
    </row>
    <row r="69" spans="1:37" ht="15.75" customHeight="1" thickBot="1">
      <c r="A69" s="191">
        <v>69</v>
      </c>
      <c r="B69" s="192"/>
      <c r="C69" s="193"/>
      <c r="D69" s="194"/>
      <c r="E69" s="194"/>
      <c r="F69" s="194">
        <f t="shared" si="0"/>
      </c>
      <c r="G69" s="192" t="str">
        <f>IF(G60="","",G60)</f>
        <v>Дунаєвецького р-ну</v>
      </c>
      <c r="H69" s="192" t="str">
        <f>IF(H60="","",H60)</f>
        <v>Дунаєвецький р-н</v>
      </c>
      <c r="I69" s="192">
        <f>IF(I60="","",I60)</f>
      </c>
      <c r="J69" s="378"/>
      <c r="K69" s="37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AE69" s="189"/>
      <c r="AF69" s="199"/>
      <c r="AG69" s="199"/>
      <c r="AH69" s="199"/>
      <c r="AI69" s="199"/>
      <c r="AJ69" s="199"/>
      <c r="AK69" s="199"/>
    </row>
    <row r="70" spans="1:37" ht="15.75" customHeight="1" thickBot="1">
      <c r="A70" s="180">
        <v>70</v>
      </c>
      <c r="B70" s="181"/>
      <c r="C70" s="182"/>
      <c r="D70" s="183"/>
      <c r="E70" s="183"/>
      <c r="F70" s="183">
        <f t="shared" si="0"/>
      </c>
      <c r="G70" s="181"/>
      <c r="H70" s="181" t="s">
        <v>48</v>
      </c>
      <c r="I70" s="181"/>
      <c r="J70" s="375"/>
      <c r="K70" s="376"/>
      <c r="L70" s="184">
        <v>70</v>
      </c>
      <c r="M70" s="185"/>
      <c r="N70" s="186"/>
      <c r="O70" s="186"/>
      <c r="P70" s="187"/>
      <c r="Q70" s="7"/>
      <c r="R70" s="7"/>
      <c r="AE70" s="189" t="str">
        <f>IF(COUNTIF($D70:$D79,AE$9)=0,"—",COUNTIF($D70:$D79,AE$9))</f>
        <v>—</v>
      </c>
      <c r="AF70" s="189" t="str">
        <f>IF(COUNTIF($D70:$D79,AF$9)=0,"—",COUNTIF($D70:$D79,AF$9))</f>
        <v>—</v>
      </c>
      <c r="AG70" s="189" t="str">
        <f>IF(COUNTIF($D70:$D79,AG$9)=0,"—",COUNTIF($D70:$D79,AG$9))</f>
        <v>—</v>
      </c>
      <c r="AH70" s="189" t="str">
        <f>IF(COUNTIF($D70:$D79,AH$9)=0,"—",COUNTIF($D70:$D79,AH$9))</f>
        <v>—</v>
      </c>
      <c r="AI70" s="189" t="str">
        <f>IF(COUNTIF($D70:$D79,AI$9)=0,"—",COUNTIF($D70:$D79,AI$9))</f>
        <v>—</v>
      </c>
      <c r="AJ70" s="189" t="str">
        <f>IF(COUNTIF($F70:$F79,AJ$9)=0,"—",COUNTIF($F70:$F79,AJ$9))</f>
        <v>—</v>
      </c>
      <c r="AK70" s="189" t="str">
        <f>IF(COUNTIF($F70:$F79,AK$9)=0,"—",COUNTIF($F70:$F79,AK$9))</f>
        <v>—</v>
      </c>
    </row>
    <row r="71" spans="1:37" ht="15.75" customHeight="1" thickBot="1">
      <c r="A71" s="191">
        <v>71</v>
      </c>
      <c r="B71" s="222"/>
      <c r="C71" s="193"/>
      <c r="D71" s="223"/>
      <c r="E71" s="194"/>
      <c r="F71" s="194">
        <f t="shared" si="0"/>
      </c>
      <c r="G71" s="192">
        <f>IF(G70="","",G70)</f>
      </c>
      <c r="H71" s="192" t="str">
        <f>IF(H70="","",H70)</f>
        <v>Ізяславський р-н</v>
      </c>
      <c r="I71" s="192">
        <f>IF(I70="","",I70)</f>
      </c>
      <c r="J71" s="377"/>
      <c r="K71" s="376"/>
      <c r="L71" s="7"/>
      <c r="M71" s="195">
        <v>70</v>
      </c>
      <c r="N71" s="196"/>
      <c r="O71" s="197"/>
      <c r="P71" s="197"/>
      <c r="Q71" s="198"/>
      <c r="R71" s="7"/>
      <c r="S71" s="7"/>
      <c r="T71" s="7"/>
      <c r="U71" s="7"/>
      <c r="V71" s="7"/>
      <c r="W71" s="7"/>
      <c r="X71" s="7"/>
      <c r="AE71" s="189"/>
      <c r="AF71" s="199"/>
      <c r="AG71" s="199"/>
      <c r="AH71" s="199"/>
      <c r="AI71" s="199"/>
      <c r="AJ71" s="199"/>
      <c r="AK71" s="199"/>
    </row>
    <row r="72" spans="1:37" ht="15.75" customHeight="1" thickBot="1">
      <c r="A72" s="191">
        <v>72</v>
      </c>
      <c r="B72" s="222"/>
      <c r="C72" s="193"/>
      <c r="D72" s="223"/>
      <c r="E72" s="194"/>
      <c r="F72" s="194">
        <f t="shared" si="0"/>
      </c>
      <c r="G72" s="192">
        <f>IF(G70="","",G70)</f>
      </c>
      <c r="H72" s="192" t="str">
        <f>IF(H70="","",H70)</f>
        <v>Ізяславський р-н</v>
      </c>
      <c r="I72" s="192">
        <f>IF(I70="","",I70)</f>
      </c>
      <c r="J72" s="378"/>
      <c r="K72" s="376"/>
      <c r="L72" s="7"/>
      <c r="M72" s="7"/>
      <c r="N72" s="200">
        <v>70</v>
      </c>
      <c r="O72" s="201"/>
      <c r="P72" s="202"/>
      <c r="Q72" s="202"/>
      <c r="R72" s="203"/>
      <c r="S72" s="7"/>
      <c r="T72" s="7"/>
      <c r="U72" s="7"/>
      <c r="V72" s="7"/>
      <c r="W72" s="7"/>
      <c r="X72" s="7"/>
      <c r="AE72" s="189"/>
      <c r="AF72" s="199"/>
      <c r="AG72" s="199"/>
      <c r="AH72" s="199"/>
      <c r="AI72" s="199"/>
      <c r="AJ72" s="199"/>
      <c r="AK72" s="199"/>
    </row>
    <row r="73" spans="1:37" ht="15.75" customHeight="1" thickBot="1">
      <c r="A73" s="191">
        <v>73</v>
      </c>
      <c r="B73" s="222"/>
      <c r="C73" s="193"/>
      <c r="D73" s="223"/>
      <c r="E73" s="194"/>
      <c r="F73" s="194">
        <f t="shared" si="0"/>
      </c>
      <c r="G73" s="192">
        <f>IF(G70="","",G70)</f>
      </c>
      <c r="H73" s="192" t="str">
        <f>IF(H70="","",H70)</f>
        <v>Ізяславський р-н</v>
      </c>
      <c r="I73" s="192">
        <f>IF(I70="","",I70)</f>
      </c>
      <c r="J73" s="378"/>
      <c r="K73" s="376"/>
      <c r="L73" s="7"/>
      <c r="M73" s="7"/>
      <c r="N73" s="204" t="s">
        <v>215</v>
      </c>
      <c r="O73" s="204">
        <v>70</v>
      </c>
      <c r="P73" s="205">
        <v>71</v>
      </c>
      <c r="Q73" s="205">
        <v>73</v>
      </c>
      <c r="R73" s="205">
        <v>74</v>
      </c>
      <c r="S73" s="205">
        <v>75</v>
      </c>
      <c r="T73" s="205">
        <v>77</v>
      </c>
      <c r="U73" s="206">
        <v>78</v>
      </c>
      <c r="V73" s="7"/>
      <c r="W73" s="7"/>
      <c r="X73" s="7"/>
      <c r="AE73" s="189"/>
      <c r="AF73" s="199"/>
      <c r="AG73" s="199"/>
      <c r="AH73" s="199"/>
      <c r="AI73" s="199"/>
      <c r="AJ73" s="199"/>
      <c r="AK73" s="199"/>
    </row>
    <row r="74" spans="1:37" ht="15.75" customHeight="1" thickBot="1">
      <c r="A74" s="191">
        <v>74</v>
      </c>
      <c r="B74" s="222"/>
      <c r="C74" s="193"/>
      <c r="D74" s="194"/>
      <c r="E74" s="194"/>
      <c r="F74" s="194">
        <f t="shared" si="0"/>
      </c>
      <c r="G74" s="192">
        <f>IF(G70="","",G70)</f>
      </c>
      <c r="H74" s="192" t="str">
        <f>IF(H70="","",H70)</f>
        <v>Ізяславський р-н</v>
      </c>
      <c r="I74" s="192">
        <f>IF(I70="","",I70)</f>
      </c>
      <c r="J74" s="378"/>
      <c r="K74" s="376"/>
      <c r="L74" s="7"/>
      <c r="M74" s="7"/>
      <c r="N74" s="7"/>
      <c r="O74" s="275"/>
      <c r="P74" s="275">
        <v>70</v>
      </c>
      <c r="Q74" s="276"/>
      <c r="R74" s="276"/>
      <c r="S74" s="276"/>
      <c r="T74" s="276"/>
      <c r="U74" s="276"/>
      <c r="V74" s="277"/>
      <c r="W74" s="7"/>
      <c r="X74" s="7"/>
      <c r="AE74" s="189"/>
      <c r="AF74" s="199"/>
      <c r="AG74" s="199"/>
      <c r="AH74" s="199"/>
      <c r="AI74" s="199"/>
      <c r="AJ74" s="199"/>
      <c r="AK74" s="199"/>
    </row>
    <row r="75" spans="1:37" ht="15.75" customHeight="1" thickBot="1">
      <c r="A75" s="191">
        <v>75</v>
      </c>
      <c r="B75" s="222"/>
      <c r="C75" s="193"/>
      <c r="D75" s="194"/>
      <c r="E75" s="194"/>
      <c r="F75" s="194">
        <f aca="true" t="shared" si="1" ref="F75:F138">IF(OR(RIGHT($B75,3)="вич",RIGHT($B75,2)="іч"),"ч",IF(RIGHT($B75,3)="вна","ж",IF(ISBLANK($B75),"","?")))</f>
      </c>
      <c r="G75" s="192">
        <f>IF(G70="","",G70)</f>
      </c>
      <c r="H75" s="192" t="str">
        <f>IF(H70="","",H70)</f>
        <v>Ізяславський р-н</v>
      </c>
      <c r="I75" s="192">
        <f>IF(I70="","",I70)</f>
      </c>
      <c r="J75" s="378"/>
      <c r="K75" s="376"/>
      <c r="L75" s="7"/>
      <c r="M75" s="7"/>
      <c r="N75" s="7"/>
      <c r="O75" s="7"/>
      <c r="P75" s="207" t="s">
        <v>106</v>
      </c>
      <c r="Q75" s="207">
        <v>70</v>
      </c>
      <c r="R75" s="208"/>
      <c r="S75" s="208"/>
      <c r="T75" s="208"/>
      <c r="U75" s="208"/>
      <c r="V75" s="209"/>
      <c r="W75" s="208"/>
      <c r="X75" s="7"/>
      <c r="AE75" s="189"/>
      <c r="AF75" s="199"/>
      <c r="AG75" s="199"/>
      <c r="AH75" s="199"/>
      <c r="AI75" s="199"/>
      <c r="AJ75" s="199"/>
      <c r="AK75" s="199"/>
    </row>
    <row r="76" spans="1:37" ht="15.75" customHeight="1">
      <c r="A76" s="191">
        <v>76</v>
      </c>
      <c r="B76" s="222"/>
      <c r="C76" s="193"/>
      <c r="D76" s="194"/>
      <c r="E76" s="194"/>
      <c r="F76" s="194">
        <f t="shared" si="1"/>
      </c>
      <c r="G76" s="192">
        <f>IF(G70="","",G70)</f>
      </c>
      <c r="H76" s="192" t="str">
        <f>IF(H70="","",H70)</f>
        <v>Ізяславський р-н</v>
      </c>
      <c r="I76" s="192">
        <f>IF(I70="","",I70)</f>
      </c>
      <c r="J76" s="378"/>
      <c r="K76" s="376"/>
      <c r="L76" s="7"/>
      <c r="M76" s="7"/>
      <c r="N76" s="7"/>
      <c r="O76" s="7"/>
      <c r="P76" s="7"/>
      <c r="Q76" s="207" t="s">
        <v>107</v>
      </c>
      <c r="R76" s="207">
        <v>70</v>
      </c>
      <c r="S76" s="208"/>
      <c r="T76" s="208"/>
      <c r="U76" s="208"/>
      <c r="V76" s="208"/>
      <c r="W76" s="209"/>
      <c r="X76" s="208"/>
      <c r="AE76" s="189"/>
      <c r="AF76" s="199"/>
      <c r="AG76" s="199"/>
      <c r="AH76" s="199"/>
      <c r="AI76" s="199"/>
      <c r="AJ76" s="199"/>
      <c r="AK76" s="199"/>
    </row>
    <row r="77" spans="1:37" ht="15.75" customHeight="1">
      <c r="A77" s="191">
        <v>77</v>
      </c>
      <c r="B77" s="222"/>
      <c r="C77" s="193"/>
      <c r="D77" s="194"/>
      <c r="E77" s="194"/>
      <c r="F77" s="194">
        <f t="shared" si="1"/>
      </c>
      <c r="G77" s="192">
        <f>IF(G70="","",G70)</f>
      </c>
      <c r="H77" s="192" t="str">
        <f>IF(H70="","",H70)</f>
        <v>Ізяславський р-н</v>
      </c>
      <c r="I77" s="192">
        <f>IF(I70="","",I70)</f>
      </c>
      <c r="J77" s="378"/>
      <c r="K77" s="376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AE77" s="189"/>
      <c r="AF77" s="199"/>
      <c r="AG77" s="199"/>
      <c r="AH77" s="199"/>
      <c r="AI77" s="199"/>
      <c r="AJ77" s="199"/>
      <c r="AK77" s="199"/>
    </row>
    <row r="78" spans="1:37" ht="15.75" customHeight="1">
      <c r="A78" s="191">
        <v>78</v>
      </c>
      <c r="B78" s="222"/>
      <c r="C78" s="193"/>
      <c r="D78" s="223"/>
      <c r="E78" s="194"/>
      <c r="F78" s="194">
        <f t="shared" si="1"/>
      </c>
      <c r="G78" s="192">
        <f>IF(G70="","",G70)</f>
      </c>
      <c r="H78" s="192" t="str">
        <f>IF(H70="","",H70)</f>
        <v>Ізяславський р-н</v>
      </c>
      <c r="I78" s="192">
        <f>IF(I70="","",I70)</f>
      </c>
      <c r="J78" s="378"/>
      <c r="K78" s="376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AE78" s="189"/>
      <c r="AF78" s="199"/>
      <c r="AG78" s="199"/>
      <c r="AH78" s="199"/>
      <c r="AI78" s="199"/>
      <c r="AJ78" s="199"/>
      <c r="AK78" s="199"/>
    </row>
    <row r="79" spans="1:37" ht="15.75" customHeight="1" thickBot="1">
      <c r="A79" s="191">
        <v>79</v>
      </c>
      <c r="B79" s="192"/>
      <c r="C79" s="193"/>
      <c r="D79" s="194"/>
      <c r="E79" s="194"/>
      <c r="F79" s="194">
        <f t="shared" si="1"/>
      </c>
      <c r="G79" s="192">
        <f>IF(G70="","",G70)</f>
      </c>
      <c r="H79" s="192" t="str">
        <f>IF(H70="","",H70)</f>
        <v>Ізяславський р-н</v>
      </c>
      <c r="I79" s="192">
        <f>IF(I70="","",I70)</f>
      </c>
      <c r="J79" s="378"/>
      <c r="K79" s="37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AE79" s="189"/>
      <c r="AF79" s="199"/>
      <c r="AG79" s="199"/>
      <c r="AH79" s="199"/>
      <c r="AI79" s="199"/>
      <c r="AJ79" s="199"/>
      <c r="AK79" s="199"/>
    </row>
    <row r="80" spans="1:37" ht="15.75" customHeight="1" thickBot="1">
      <c r="A80" s="180">
        <v>80</v>
      </c>
      <c r="B80" s="181"/>
      <c r="C80" s="182"/>
      <c r="D80" s="183"/>
      <c r="E80" s="183"/>
      <c r="F80" s="183">
        <f t="shared" si="1"/>
      </c>
      <c r="G80" s="181"/>
      <c r="H80" s="181" t="s">
        <v>49</v>
      </c>
      <c r="I80" s="181"/>
      <c r="J80" s="375"/>
      <c r="K80" s="376"/>
      <c r="L80" s="184">
        <v>80</v>
      </c>
      <c r="M80" s="185"/>
      <c r="N80" s="186"/>
      <c r="O80" s="186"/>
      <c r="P80" s="187"/>
      <c r="Q80" s="7"/>
      <c r="R80" s="7"/>
      <c r="AE80" s="189" t="str">
        <f>IF(COUNTIF($D80:$D89,AE$9)=0,"—",COUNTIF($D80:$D89,AE$9))</f>
        <v>—</v>
      </c>
      <c r="AF80" s="189" t="str">
        <f>IF(COUNTIF($D80:$D89,AF$9)=0,"—",COUNTIF($D80:$D89,AF$9))</f>
        <v>—</v>
      </c>
      <c r="AG80" s="189" t="str">
        <f>IF(COUNTIF($D80:$D89,AG$9)=0,"—",COUNTIF($D80:$D89,AG$9))</f>
        <v>—</v>
      </c>
      <c r="AH80" s="189" t="str">
        <f>IF(COUNTIF($D80:$D89,AH$9)=0,"—",COUNTIF($D80:$D89,AH$9))</f>
        <v>—</v>
      </c>
      <c r="AI80" s="189" t="str">
        <f>IF(COUNTIF($D80:$D89,AI$9)=0,"—",COUNTIF($D80:$D89,AI$9))</f>
        <v>—</v>
      </c>
      <c r="AJ80" s="189" t="str">
        <f>IF(COUNTIF($F80:$F89,AJ$9)=0,"—",COUNTIF($F80:$F89,AJ$9))</f>
        <v>—</v>
      </c>
      <c r="AK80" s="189" t="str">
        <f>IF(COUNTIF($F80:$F89,AK$9)=0,"—",COUNTIF($F80:$F89,AK$9))</f>
        <v>—</v>
      </c>
    </row>
    <row r="81" spans="1:37" ht="15.75" customHeight="1" thickBot="1">
      <c r="A81" s="191">
        <v>81</v>
      </c>
      <c r="B81" s="222"/>
      <c r="C81" s="193"/>
      <c r="D81" s="194"/>
      <c r="E81" s="194"/>
      <c r="F81" s="194">
        <f t="shared" si="1"/>
      </c>
      <c r="G81" s="192">
        <f>IF(G80="","",G80)</f>
      </c>
      <c r="H81" s="192" t="str">
        <f>IF(H80="","",H80)</f>
        <v>Кам.-Подільський р-н</v>
      </c>
      <c r="I81" s="192">
        <f>IF(I80="","",I80)</f>
      </c>
      <c r="J81" s="377"/>
      <c r="K81" s="376"/>
      <c r="L81" s="7"/>
      <c r="M81" s="195">
        <v>80</v>
      </c>
      <c r="N81" s="196"/>
      <c r="O81" s="197"/>
      <c r="P81" s="197"/>
      <c r="Q81" s="198"/>
      <c r="R81" s="7"/>
      <c r="S81" s="7"/>
      <c r="T81" s="7"/>
      <c r="U81" s="7"/>
      <c r="V81" s="7"/>
      <c r="W81" s="7"/>
      <c r="X81" s="7"/>
      <c r="AE81" s="189"/>
      <c r="AF81" s="199"/>
      <c r="AG81" s="199"/>
      <c r="AH81" s="199"/>
      <c r="AI81" s="199"/>
      <c r="AJ81" s="199"/>
      <c r="AK81" s="199"/>
    </row>
    <row r="82" spans="1:37" ht="15.75" customHeight="1" thickBot="1">
      <c r="A82" s="191">
        <v>82</v>
      </c>
      <c r="B82" s="222"/>
      <c r="C82" s="193"/>
      <c r="D82" s="194"/>
      <c r="E82" s="194"/>
      <c r="F82" s="194">
        <f t="shared" si="1"/>
      </c>
      <c r="G82" s="192">
        <f>IF(G80="","",G80)</f>
      </c>
      <c r="H82" s="192" t="str">
        <f>IF(H80="","",H80)</f>
        <v>Кам.-Подільський р-н</v>
      </c>
      <c r="I82" s="192">
        <f>IF(I80="","",I80)</f>
      </c>
      <c r="J82" s="378"/>
      <c r="K82" s="376"/>
      <c r="L82" s="7"/>
      <c r="M82" s="7"/>
      <c r="N82" s="200">
        <v>80</v>
      </c>
      <c r="O82" s="201"/>
      <c r="P82" s="202"/>
      <c r="Q82" s="202"/>
      <c r="R82" s="203"/>
      <c r="S82" s="7"/>
      <c r="T82" s="7"/>
      <c r="U82" s="7"/>
      <c r="V82" s="7"/>
      <c r="W82" s="7"/>
      <c r="X82" s="7"/>
      <c r="AE82" s="189"/>
      <c r="AF82" s="199"/>
      <c r="AG82" s="199"/>
      <c r="AH82" s="199"/>
      <c r="AI82" s="199"/>
      <c r="AJ82" s="199"/>
      <c r="AK82" s="199"/>
    </row>
    <row r="83" spans="1:37" ht="15.75" customHeight="1" thickBot="1">
      <c r="A83" s="191">
        <v>83</v>
      </c>
      <c r="B83" s="222"/>
      <c r="C83" s="193"/>
      <c r="D83" s="194"/>
      <c r="E83" s="194"/>
      <c r="F83" s="194">
        <f t="shared" si="1"/>
      </c>
      <c r="G83" s="192">
        <f>IF(G80="","",G80)</f>
      </c>
      <c r="H83" s="192" t="str">
        <f>IF(H80="","",H80)</f>
        <v>Кам.-Подільський р-н</v>
      </c>
      <c r="I83" s="192">
        <f>IF(I80="","",I80)</f>
      </c>
      <c r="J83" s="378"/>
      <c r="K83" s="376"/>
      <c r="L83" s="7"/>
      <c r="M83" s="7"/>
      <c r="N83" s="204" t="s">
        <v>215</v>
      </c>
      <c r="O83" s="204">
        <v>80</v>
      </c>
      <c r="P83" s="205">
        <v>83</v>
      </c>
      <c r="Q83" s="205">
        <v>87</v>
      </c>
      <c r="R83" s="205">
        <v>82</v>
      </c>
      <c r="S83" s="205">
        <v>84</v>
      </c>
      <c r="T83" s="205">
        <v>86</v>
      </c>
      <c r="U83" s="206">
        <v>81</v>
      </c>
      <c r="V83" s="7"/>
      <c r="W83" s="7"/>
      <c r="X83" s="7"/>
      <c r="AE83" s="189"/>
      <c r="AF83" s="199"/>
      <c r="AG83" s="199"/>
      <c r="AH83" s="199"/>
      <c r="AI83" s="199"/>
      <c r="AJ83" s="199"/>
      <c r="AK83" s="199"/>
    </row>
    <row r="84" spans="1:37" ht="15.75" customHeight="1" thickBot="1">
      <c r="A84" s="191">
        <v>84</v>
      </c>
      <c r="B84" s="222"/>
      <c r="C84" s="193"/>
      <c r="D84" s="194"/>
      <c r="E84" s="194"/>
      <c r="F84" s="194">
        <f t="shared" si="1"/>
      </c>
      <c r="G84" s="192">
        <f>IF(G80="","",G80)</f>
      </c>
      <c r="H84" s="192" t="str">
        <f>IF(H80="","",H80)</f>
        <v>Кам.-Подільський р-н</v>
      </c>
      <c r="I84" s="192">
        <f>IF(I80="","",I80)</f>
      </c>
      <c r="J84" s="378"/>
      <c r="K84" s="376"/>
      <c r="L84" s="7"/>
      <c r="M84" s="7"/>
      <c r="N84" s="7"/>
      <c r="O84" s="275"/>
      <c r="P84" s="275">
        <v>80</v>
      </c>
      <c r="Q84" s="276"/>
      <c r="R84" s="276"/>
      <c r="S84" s="276"/>
      <c r="T84" s="276"/>
      <c r="U84" s="276"/>
      <c r="V84" s="277"/>
      <c r="W84" s="7"/>
      <c r="X84" s="7"/>
      <c r="AE84" s="189"/>
      <c r="AF84" s="199"/>
      <c r="AG84" s="199"/>
      <c r="AH84" s="199"/>
      <c r="AI84" s="199"/>
      <c r="AJ84" s="199"/>
      <c r="AK84" s="199"/>
    </row>
    <row r="85" spans="1:37" ht="15.75" customHeight="1" thickBot="1">
      <c r="A85" s="191">
        <v>85</v>
      </c>
      <c r="B85" s="222"/>
      <c r="C85" s="193"/>
      <c r="D85" s="194"/>
      <c r="E85" s="194"/>
      <c r="F85" s="194">
        <f t="shared" si="1"/>
      </c>
      <c r="G85" s="192">
        <f>IF(G80="","",G80)</f>
      </c>
      <c r="H85" s="192" t="str">
        <f>IF(H80="","",H80)</f>
        <v>Кам.-Подільський р-н</v>
      </c>
      <c r="I85" s="192">
        <f>IF(I80="","",I80)</f>
      </c>
      <c r="J85" s="378"/>
      <c r="K85" s="376"/>
      <c r="L85" s="7"/>
      <c r="M85" s="7"/>
      <c r="N85" s="7"/>
      <c r="O85" s="7"/>
      <c r="P85" s="207" t="s">
        <v>106</v>
      </c>
      <c r="Q85" s="207">
        <v>80</v>
      </c>
      <c r="R85" s="208"/>
      <c r="S85" s="208"/>
      <c r="T85" s="208"/>
      <c r="U85" s="208"/>
      <c r="V85" s="209"/>
      <c r="W85" s="208"/>
      <c r="X85" s="7"/>
      <c r="AE85" s="189"/>
      <c r="AF85" s="199"/>
      <c r="AG85" s="199"/>
      <c r="AH85" s="199"/>
      <c r="AI85" s="199"/>
      <c r="AJ85" s="199"/>
      <c r="AK85" s="199"/>
    </row>
    <row r="86" spans="1:37" ht="15.75" customHeight="1">
      <c r="A86" s="191">
        <v>86</v>
      </c>
      <c r="B86" s="222"/>
      <c r="C86" s="193"/>
      <c r="D86" s="194"/>
      <c r="E86" s="194"/>
      <c r="F86" s="194">
        <f t="shared" si="1"/>
      </c>
      <c r="G86" s="192">
        <f>IF(G80="","",G80)</f>
      </c>
      <c r="H86" s="192" t="str">
        <f>IF(H80="","",H80)</f>
        <v>Кам.-Подільський р-н</v>
      </c>
      <c r="I86" s="192">
        <f>IF(I80="","",I80)</f>
      </c>
      <c r="J86" s="378"/>
      <c r="K86" s="376"/>
      <c r="L86" s="7"/>
      <c r="M86" s="7"/>
      <c r="N86" s="7"/>
      <c r="O86" s="7"/>
      <c r="P86" s="7"/>
      <c r="Q86" s="207" t="s">
        <v>107</v>
      </c>
      <c r="R86" s="207">
        <v>80</v>
      </c>
      <c r="S86" s="208"/>
      <c r="T86" s="208"/>
      <c r="U86" s="208"/>
      <c r="V86" s="208"/>
      <c r="W86" s="209"/>
      <c r="X86" s="208"/>
      <c r="AE86" s="189"/>
      <c r="AF86" s="199"/>
      <c r="AG86" s="199"/>
      <c r="AH86" s="199"/>
      <c r="AI86" s="199"/>
      <c r="AJ86" s="199"/>
      <c r="AK86" s="199"/>
    </row>
    <row r="87" spans="1:37" ht="15.75" customHeight="1">
      <c r="A87" s="191">
        <v>87</v>
      </c>
      <c r="B87" s="222"/>
      <c r="C87" s="193"/>
      <c r="D87" s="194"/>
      <c r="E87" s="194"/>
      <c r="F87" s="194">
        <f t="shared" si="1"/>
      </c>
      <c r="G87" s="192">
        <f>IF(G80="","",G80)</f>
      </c>
      <c r="H87" s="192" t="str">
        <f>IF(H80="","",H80)</f>
        <v>Кам.-Подільський р-н</v>
      </c>
      <c r="I87" s="192">
        <f>IF(I80="","",I80)</f>
      </c>
      <c r="J87" s="378"/>
      <c r="K87" s="376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AE87" s="189"/>
      <c r="AF87" s="199"/>
      <c r="AG87" s="199"/>
      <c r="AH87" s="199"/>
      <c r="AI87" s="199"/>
      <c r="AJ87" s="199"/>
      <c r="AK87" s="199"/>
    </row>
    <row r="88" spans="1:37" ht="15.75" customHeight="1">
      <c r="A88" s="191">
        <v>88</v>
      </c>
      <c r="B88" s="192"/>
      <c r="C88" s="193"/>
      <c r="D88" s="194"/>
      <c r="E88" s="194"/>
      <c r="F88" s="194">
        <f t="shared" si="1"/>
      </c>
      <c r="G88" s="192">
        <f>IF(G80="","",G80)</f>
      </c>
      <c r="H88" s="192" t="str">
        <f>IF(H80="","",H80)</f>
        <v>Кам.-Подільський р-н</v>
      </c>
      <c r="I88" s="192">
        <f>IF(I80="","",I80)</f>
      </c>
      <c r="J88" s="378"/>
      <c r="K88" s="376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AE88" s="189"/>
      <c r="AF88" s="199"/>
      <c r="AG88" s="199"/>
      <c r="AH88" s="199"/>
      <c r="AI88" s="199"/>
      <c r="AJ88" s="199"/>
      <c r="AK88" s="199"/>
    </row>
    <row r="89" spans="1:37" ht="15.75" customHeight="1" thickBot="1">
      <c r="A89" s="191">
        <v>89</v>
      </c>
      <c r="B89" s="192"/>
      <c r="C89" s="193"/>
      <c r="D89" s="194"/>
      <c r="E89" s="194"/>
      <c r="F89" s="194">
        <f t="shared" si="1"/>
      </c>
      <c r="G89" s="192">
        <f>IF(G80="","",G80)</f>
      </c>
      <c r="H89" s="192" t="str">
        <f>IF(H80="","",H80)</f>
        <v>Кам.-Подільський р-н</v>
      </c>
      <c r="I89" s="192">
        <f>IF(I80="","",I80)</f>
      </c>
      <c r="J89" s="378"/>
      <c r="K89" s="376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AE89" s="189"/>
      <c r="AF89" s="199"/>
      <c r="AG89" s="199"/>
      <c r="AH89" s="199"/>
      <c r="AI89" s="199"/>
      <c r="AJ89" s="199"/>
      <c r="AK89" s="199"/>
    </row>
    <row r="90" spans="1:37" ht="15.75" customHeight="1" thickBot="1">
      <c r="A90" s="180">
        <v>90</v>
      </c>
      <c r="B90" s="181"/>
      <c r="C90" s="182"/>
      <c r="D90" s="183"/>
      <c r="E90" s="183"/>
      <c r="F90" s="183">
        <f t="shared" si="1"/>
      </c>
      <c r="G90" s="181" t="s">
        <v>58</v>
      </c>
      <c r="H90" s="181" t="s">
        <v>50</v>
      </c>
      <c r="I90" s="181"/>
      <c r="J90" s="375"/>
      <c r="K90" s="376"/>
      <c r="L90" s="184">
        <v>90</v>
      </c>
      <c r="M90" s="185"/>
      <c r="N90" s="186"/>
      <c r="O90" s="186"/>
      <c r="P90" s="187"/>
      <c r="Q90" s="7"/>
      <c r="R90" s="7"/>
      <c r="AE90" s="189" t="str">
        <f>IF(COUNTIF($D90:$D99,AE$9)=0,"—",COUNTIF($D90:$D99,AE$9))</f>
        <v>—</v>
      </c>
      <c r="AF90" s="189" t="str">
        <f>IF(COUNTIF($D90:$D99,AF$9)=0,"—",COUNTIF($D90:$D99,AF$9))</f>
        <v>—</v>
      </c>
      <c r="AG90" s="189" t="str">
        <f>IF(COUNTIF($D90:$D99,AG$9)=0,"—",COUNTIF($D90:$D99,AG$9))</f>
        <v>—</v>
      </c>
      <c r="AH90" s="189" t="str">
        <f>IF(COUNTIF($D90:$D99,AH$9)=0,"—",COUNTIF($D90:$D99,AH$9))</f>
        <v>—</v>
      </c>
      <c r="AI90" s="189" t="str">
        <f>IF(COUNTIF($D90:$D99,AI$9)=0,"—",COUNTIF($D90:$D99,AI$9))</f>
        <v>—</v>
      </c>
      <c r="AJ90" s="189">
        <f>IF(COUNTIF($F90:$F99,AJ$9)=0,"—",COUNTIF($F90:$F99,AJ$9))</f>
        <v>5</v>
      </c>
      <c r="AK90" s="189">
        <f>IF(COUNTIF($F90:$F99,AK$9)=0,"—",COUNTIF($F90:$F99,AK$9))</f>
        <v>2</v>
      </c>
    </row>
    <row r="91" spans="1:37" ht="15.75" customHeight="1" thickBot="1">
      <c r="A91" s="191">
        <v>91</v>
      </c>
      <c r="B91" s="192" t="s">
        <v>200</v>
      </c>
      <c r="C91" s="193">
        <v>31939</v>
      </c>
      <c r="D91" s="194" t="s">
        <v>181</v>
      </c>
      <c r="E91" s="194"/>
      <c r="F91" s="194" t="str">
        <f t="shared" si="1"/>
        <v>ч</v>
      </c>
      <c r="G91" s="192" t="str">
        <f>IF(G90="","",G90)</f>
        <v>Красилівського р-ну</v>
      </c>
      <c r="H91" s="192" t="str">
        <f>IF(H90="","",H90)</f>
        <v>Красилівський р-н</v>
      </c>
      <c r="I91" s="192">
        <f>IF(I90="","",I90)</f>
      </c>
      <c r="J91" s="377" t="s">
        <v>316</v>
      </c>
      <c r="K91" s="376"/>
      <c r="L91" s="7"/>
      <c r="M91" s="195">
        <v>90</v>
      </c>
      <c r="N91" s="196"/>
      <c r="O91" s="197"/>
      <c r="P91" s="197"/>
      <c r="Q91" s="198"/>
      <c r="R91" s="7"/>
      <c r="S91" s="7"/>
      <c r="T91" s="7"/>
      <c r="U91" s="7"/>
      <c r="V91" s="7"/>
      <c r="W91" s="7"/>
      <c r="X91" s="7"/>
      <c r="AE91" s="189"/>
      <c r="AF91" s="199"/>
      <c r="AG91" s="199"/>
      <c r="AH91" s="199"/>
      <c r="AI91" s="199"/>
      <c r="AJ91" s="199"/>
      <c r="AK91" s="199"/>
    </row>
    <row r="92" spans="1:37" ht="15.75" customHeight="1" thickBot="1">
      <c r="A92" s="191">
        <v>92</v>
      </c>
      <c r="B92" s="192" t="s">
        <v>231</v>
      </c>
      <c r="C92" s="193">
        <v>25380</v>
      </c>
      <c r="D92" s="223" t="s">
        <v>181</v>
      </c>
      <c r="E92" s="194"/>
      <c r="F92" s="194" t="str">
        <f t="shared" si="1"/>
        <v>ч</v>
      </c>
      <c r="G92" s="192" t="str">
        <f>IF(G90="","",G90)</f>
        <v>Красилівського р-ну</v>
      </c>
      <c r="H92" s="192" t="str">
        <f>IF(H90="","",H90)</f>
        <v>Красилівський р-н</v>
      </c>
      <c r="I92" s="192">
        <f>IF(I90="","",I90)</f>
      </c>
      <c r="J92" s="378" t="s">
        <v>232</v>
      </c>
      <c r="K92" s="376"/>
      <c r="L92" s="7"/>
      <c r="M92" s="7"/>
      <c r="N92" s="200">
        <v>90</v>
      </c>
      <c r="O92" s="201"/>
      <c r="P92" s="202"/>
      <c r="Q92" s="202"/>
      <c r="R92" s="203"/>
      <c r="S92" s="7"/>
      <c r="T92" s="7"/>
      <c r="U92" s="7"/>
      <c r="V92" s="7"/>
      <c r="W92" s="7"/>
      <c r="X92" s="7"/>
      <c r="AE92" s="189"/>
      <c r="AF92" s="199"/>
      <c r="AG92" s="199"/>
      <c r="AH92" s="199"/>
      <c r="AI92" s="199"/>
      <c r="AJ92" s="199"/>
      <c r="AK92" s="199"/>
    </row>
    <row r="93" spans="1:37" ht="15.75" customHeight="1" thickBot="1">
      <c r="A93" s="191">
        <v>93</v>
      </c>
      <c r="B93" s="222" t="s">
        <v>406</v>
      </c>
      <c r="C93" s="193">
        <v>32803</v>
      </c>
      <c r="D93" s="194" t="s">
        <v>181</v>
      </c>
      <c r="E93" s="194"/>
      <c r="F93" s="194" t="str">
        <f t="shared" si="1"/>
        <v>ж</v>
      </c>
      <c r="G93" s="192" t="str">
        <f>IF(G90="","",G90)</f>
        <v>Красилівського р-ну</v>
      </c>
      <c r="H93" s="192" t="str">
        <f>IF(H90="","",H90)</f>
        <v>Красилівський р-н</v>
      </c>
      <c r="I93" s="192">
        <f>IF(I90="","",I90)</f>
      </c>
      <c r="J93" s="377" t="s">
        <v>316</v>
      </c>
      <c r="K93" s="376"/>
      <c r="L93" s="7"/>
      <c r="M93" s="7"/>
      <c r="N93" s="204" t="s">
        <v>215</v>
      </c>
      <c r="O93" s="204">
        <v>90</v>
      </c>
      <c r="P93" s="205">
        <v>91</v>
      </c>
      <c r="Q93" s="205">
        <v>92</v>
      </c>
      <c r="R93" s="205">
        <v>93</v>
      </c>
      <c r="S93" s="205">
        <v>94</v>
      </c>
      <c r="T93" s="205">
        <v>95</v>
      </c>
      <c r="U93" s="206">
        <v>97</v>
      </c>
      <c r="V93" s="7"/>
      <c r="W93" s="7"/>
      <c r="X93" s="7"/>
      <c r="AE93" s="189"/>
      <c r="AF93" s="199"/>
      <c r="AG93" s="199"/>
      <c r="AH93" s="199"/>
      <c r="AI93" s="199"/>
      <c r="AJ93" s="199"/>
      <c r="AK93" s="199"/>
    </row>
    <row r="94" spans="1:37" ht="15.75" customHeight="1" thickBot="1">
      <c r="A94" s="191">
        <v>94</v>
      </c>
      <c r="B94" s="222" t="s">
        <v>315</v>
      </c>
      <c r="C94" s="193">
        <v>32858</v>
      </c>
      <c r="D94" s="194" t="s">
        <v>181</v>
      </c>
      <c r="E94" s="194"/>
      <c r="F94" s="194" t="str">
        <f t="shared" si="1"/>
        <v>ч</v>
      </c>
      <c r="G94" s="192" t="str">
        <f>IF(G90="","",G90)</f>
        <v>Красилівського р-ну</v>
      </c>
      <c r="H94" s="192" t="str">
        <f>IF(H90="","",H90)</f>
        <v>Красилівський р-н</v>
      </c>
      <c r="I94" s="192">
        <f>IF(I90="","",I90)</f>
      </c>
      <c r="J94" s="378" t="s">
        <v>316</v>
      </c>
      <c r="K94" s="376"/>
      <c r="L94" s="7"/>
      <c r="M94" s="7"/>
      <c r="N94" s="7"/>
      <c r="O94" s="275"/>
      <c r="P94" s="275">
        <v>90</v>
      </c>
      <c r="Q94" s="276"/>
      <c r="R94" s="276"/>
      <c r="S94" s="276"/>
      <c r="T94" s="276"/>
      <c r="U94" s="276"/>
      <c r="V94" s="277"/>
      <c r="W94" s="7"/>
      <c r="X94" s="7"/>
      <c r="AE94" s="189"/>
      <c r="AF94" s="199"/>
      <c r="AG94" s="199"/>
      <c r="AH94" s="199"/>
      <c r="AI94" s="199"/>
      <c r="AJ94" s="199"/>
      <c r="AK94" s="199"/>
    </row>
    <row r="95" spans="1:37" ht="15.75" customHeight="1" thickBot="1">
      <c r="A95" s="191">
        <v>95</v>
      </c>
      <c r="B95" s="222" t="s">
        <v>407</v>
      </c>
      <c r="C95" s="193">
        <v>33260</v>
      </c>
      <c r="D95" s="194" t="s">
        <v>181</v>
      </c>
      <c r="E95" s="194"/>
      <c r="F95" s="194" t="str">
        <f t="shared" si="1"/>
        <v>ж</v>
      </c>
      <c r="G95" s="192" t="str">
        <f>IF(G90="","",G90)</f>
        <v>Красилівського р-ну</v>
      </c>
      <c r="H95" s="192" t="str">
        <f>IF(H90="","",H90)</f>
        <v>Красилівський р-н</v>
      </c>
      <c r="I95" s="192">
        <f>IF(I90="","",I90)</f>
      </c>
      <c r="J95" s="378" t="s">
        <v>316</v>
      </c>
      <c r="K95" s="376"/>
      <c r="L95" s="7"/>
      <c r="M95" s="7"/>
      <c r="N95" s="7"/>
      <c r="O95" s="7"/>
      <c r="P95" s="207" t="s">
        <v>106</v>
      </c>
      <c r="Q95" s="207">
        <v>90</v>
      </c>
      <c r="R95" s="208"/>
      <c r="S95" s="208"/>
      <c r="T95" s="208"/>
      <c r="U95" s="208"/>
      <c r="V95" s="209"/>
      <c r="W95" s="208"/>
      <c r="X95" s="7"/>
      <c r="AE95" s="189"/>
      <c r="AF95" s="199"/>
      <c r="AG95" s="199"/>
      <c r="AH95" s="199"/>
      <c r="AI95" s="199"/>
      <c r="AJ95" s="199"/>
      <c r="AK95" s="199"/>
    </row>
    <row r="96" spans="1:37" ht="15.75" customHeight="1">
      <c r="A96" s="191">
        <v>96</v>
      </c>
      <c r="B96" s="222" t="s">
        <v>408</v>
      </c>
      <c r="C96" s="193">
        <v>33783</v>
      </c>
      <c r="D96" s="223" t="s">
        <v>181</v>
      </c>
      <c r="E96" s="194"/>
      <c r="F96" s="194" t="str">
        <f t="shared" si="1"/>
        <v>ч</v>
      </c>
      <c r="G96" s="192" t="str">
        <f>IF(G90="","",G90)</f>
        <v>Красилівського р-ну</v>
      </c>
      <c r="H96" s="192" t="str">
        <f>IF(H90="","",H90)</f>
        <v>Красилівський р-н</v>
      </c>
      <c r="I96" s="192">
        <f>IF(I90="","",I90)</f>
      </c>
      <c r="J96" s="378" t="s">
        <v>316</v>
      </c>
      <c r="K96" s="376"/>
      <c r="L96" s="7"/>
      <c r="M96" s="7"/>
      <c r="N96" s="7"/>
      <c r="O96" s="7"/>
      <c r="P96" s="7"/>
      <c r="Q96" s="207" t="s">
        <v>107</v>
      </c>
      <c r="R96" s="207">
        <v>90</v>
      </c>
      <c r="S96" s="208"/>
      <c r="T96" s="208"/>
      <c r="U96" s="208"/>
      <c r="V96" s="208"/>
      <c r="W96" s="209"/>
      <c r="X96" s="208"/>
      <c r="AE96" s="189"/>
      <c r="AF96" s="199"/>
      <c r="AG96" s="199"/>
      <c r="AH96" s="199"/>
      <c r="AI96" s="199"/>
      <c r="AJ96" s="199"/>
      <c r="AK96" s="199"/>
    </row>
    <row r="97" spans="1:37" ht="15.75" customHeight="1">
      <c r="A97" s="191">
        <v>97</v>
      </c>
      <c r="B97" s="222" t="s">
        <v>409</v>
      </c>
      <c r="C97" s="193">
        <v>34858</v>
      </c>
      <c r="D97" s="223" t="s">
        <v>181</v>
      </c>
      <c r="E97" s="194"/>
      <c r="F97" s="194" t="str">
        <f t="shared" si="1"/>
        <v>ч</v>
      </c>
      <c r="G97" s="192" t="str">
        <f>IF(G90="","",G90)</f>
        <v>Красилівського р-ну</v>
      </c>
      <c r="H97" s="192" t="str">
        <f>IF(H90="","",H90)</f>
        <v>Красилівський р-н</v>
      </c>
      <c r="I97" s="192">
        <f>IF(I90="","",I90)</f>
      </c>
      <c r="J97" s="378" t="s">
        <v>316</v>
      </c>
      <c r="K97" s="376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AE97" s="189"/>
      <c r="AF97" s="199"/>
      <c r="AG97" s="199"/>
      <c r="AH97" s="199"/>
      <c r="AI97" s="199"/>
      <c r="AJ97" s="199"/>
      <c r="AK97" s="199"/>
    </row>
    <row r="98" spans="1:37" ht="15.75" customHeight="1">
      <c r="A98" s="191">
        <v>98</v>
      </c>
      <c r="B98" s="222"/>
      <c r="C98" s="193"/>
      <c r="D98" s="223"/>
      <c r="E98" s="194"/>
      <c r="F98" s="194">
        <f t="shared" si="1"/>
      </c>
      <c r="G98" s="192" t="str">
        <f>IF(G90="","",G90)</f>
        <v>Красилівського р-ну</v>
      </c>
      <c r="H98" s="192" t="str">
        <f>IF(H90="","",H90)</f>
        <v>Красилівський р-н</v>
      </c>
      <c r="I98" s="192">
        <f>IF(I90="","",I90)</f>
      </c>
      <c r="J98" s="378"/>
      <c r="K98" s="376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AE98" s="189"/>
      <c r="AF98" s="199"/>
      <c r="AG98" s="199"/>
      <c r="AH98" s="199"/>
      <c r="AI98" s="199"/>
      <c r="AJ98" s="199"/>
      <c r="AK98" s="199"/>
    </row>
    <row r="99" spans="1:37" ht="15.75" customHeight="1" thickBot="1">
      <c r="A99" s="191">
        <v>99</v>
      </c>
      <c r="B99" s="192"/>
      <c r="C99" s="193"/>
      <c r="D99" s="194"/>
      <c r="E99" s="194"/>
      <c r="F99" s="194">
        <f t="shared" si="1"/>
      </c>
      <c r="G99" s="192" t="str">
        <f>IF(G90="","",G90)</f>
        <v>Красилівського р-ну</v>
      </c>
      <c r="H99" s="192" t="str">
        <f>IF(H90="","",H90)</f>
        <v>Красилівський р-н</v>
      </c>
      <c r="I99" s="192">
        <f>IF(I90="","",I90)</f>
      </c>
      <c r="J99" s="378"/>
      <c r="K99" s="376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AE99" s="189"/>
      <c r="AF99" s="199"/>
      <c r="AG99" s="199"/>
      <c r="AH99" s="199"/>
      <c r="AI99" s="199"/>
      <c r="AJ99" s="199"/>
      <c r="AK99" s="199"/>
    </row>
    <row r="100" spans="1:37" ht="15.75" customHeight="1" thickBot="1">
      <c r="A100" s="180">
        <v>100</v>
      </c>
      <c r="B100" s="181"/>
      <c r="C100" s="182"/>
      <c r="D100" s="183"/>
      <c r="E100" s="183"/>
      <c r="F100" s="183">
        <f t="shared" si="1"/>
      </c>
      <c r="G100" s="239"/>
      <c r="H100" s="181" t="s">
        <v>55</v>
      </c>
      <c r="I100" s="181"/>
      <c r="J100" s="375"/>
      <c r="K100" s="376"/>
      <c r="L100" s="184">
        <v>100</v>
      </c>
      <c r="M100" s="185"/>
      <c r="N100" s="186"/>
      <c r="O100" s="186"/>
      <c r="P100" s="187"/>
      <c r="Q100" s="7"/>
      <c r="R100" s="7"/>
      <c r="AE100" s="189" t="str">
        <f>IF(COUNTIF($D100:$D109,AE$9)=0,"—",COUNTIF($D100:$D109,AE$9))</f>
        <v>—</v>
      </c>
      <c r="AF100" s="189" t="str">
        <f>IF(COUNTIF($D100:$D109,AF$9)=0,"—",COUNTIF($D100:$D109,AF$9))</f>
        <v>—</v>
      </c>
      <c r="AG100" s="189" t="str">
        <f>IF(COUNTIF($D100:$D109,AG$9)=0,"—",COUNTIF($D100:$D109,AG$9))</f>
        <v>—</v>
      </c>
      <c r="AH100" s="189" t="str">
        <f>IF(COUNTIF($D100:$D109,AH$9)=0,"—",COUNTIF($D100:$D109,AH$9))</f>
        <v>—</v>
      </c>
      <c r="AI100" s="189" t="str">
        <f>IF(COUNTIF($D100:$D109,AI$9)=0,"—",COUNTIF($D100:$D109,AI$9))</f>
        <v>—</v>
      </c>
      <c r="AJ100" s="189" t="str">
        <f>IF(COUNTIF($F100:$F109,AJ$9)=0,"—",COUNTIF($F100:$F109,AJ$9))</f>
        <v>—</v>
      </c>
      <c r="AK100" s="189" t="str">
        <f>IF(COUNTIF($F100:$F109,AK$9)=0,"—",COUNTIF($F100:$F109,AK$9))</f>
        <v>—</v>
      </c>
    </row>
    <row r="101" spans="1:37" ht="15.75" customHeight="1" thickBot="1">
      <c r="A101" s="191">
        <v>101</v>
      </c>
      <c r="B101" s="192"/>
      <c r="C101" s="193"/>
      <c r="D101" s="194"/>
      <c r="E101" s="194"/>
      <c r="F101" s="194">
        <f t="shared" si="1"/>
      </c>
      <c r="G101" s="192">
        <f>IF(G100="","",G100)</f>
      </c>
      <c r="H101" s="192" t="str">
        <f>IF(H100="","",H100)</f>
        <v>Летичівський р-н</v>
      </c>
      <c r="I101" s="192">
        <f>IF(I100="","",I100)</f>
      </c>
      <c r="J101" s="378"/>
      <c r="K101" s="376"/>
      <c r="L101" s="7"/>
      <c r="M101" s="195">
        <v>100</v>
      </c>
      <c r="N101" s="196"/>
      <c r="O101" s="197"/>
      <c r="P101" s="197"/>
      <c r="Q101" s="198"/>
      <c r="R101" s="7"/>
      <c r="S101" s="7"/>
      <c r="T101" s="7"/>
      <c r="U101" s="7"/>
      <c r="V101" s="7"/>
      <c r="W101" s="7"/>
      <c r="X101" s="7"/>
      <c r="AE101" s="189"/>
      <c r="AF101" s="199"/>
      <c r="AG101" s="199"/>
      <c r="AH101" s="199"/>
      <c r="AI101" s="199"/>
      <c r="AJ101" s="199"/>
      <c r="AK101" s="199"/>
    </row>
    <row r="102" spans="1:37" ht="15.75" customHeight="1" thickBot="1">
      <c r="A102" s="191">
        <v>102</v>
      </c>
      <c r="B102" s="192"/>
      <c r="C102" s="193"/>
      <c r="D102" s="194"/>
      <c r="E102" s="194"/>
      <c r="F102" s="194">
        <f t="shared" si="1"/>
      </c>
      <c r="G102" s="192">
        <f>IF(G100="","",G100)</f>
      </c>
      <c r="H102" s="192" t="str">
        <f>IF(H100="","",H100)</f>
        <v>Летичівський р-н</v>
      </c>
      <c r="I102" s="192">
        <f>IF(I100="","",I100)</f>
      </c>
      <c r="J102" s="378"/>
      <c r="K102" s="376"/>
      <c r="L102" s="7"/>
      <c r="M102" s="7"/>
      <c r="N102" s="200">
        <v>100</v>
      </c>
      <c r="O102" s="201"/>
      <c r="P102" s="202"/>
      <c r="Q102" s="202"/>
      <c r="R102" s="203"/>
      <c r="S102" s="7"/>
      <c r="T102" s="7"/>
      <c r="U102" s="7"/>
      <c r="V102" s="7"/>
      <c r="W102" s="7"/>
      <c r="X102" s="7"/>
      <c r="AE102" s="189"/>
      <c r="AF102" s="199"/>
      <c r="AG102" s="199"/>
      <c r="AH102" s="199"/>
      <c r="AI102" s="199"/>
      <c r="AJ102" s="199"/>
      <c r="AK102" s="199"/>
    </row>
    <row r="103" spans="1:37" ht="15.75" customHeight="1" thickBot="1">
      <c r="A103" s="191">
        <v>103</v>
      </c>
      <c r="B103" s="192"/>
      <c r="C103" s="193"/>
      <c r="D103" s="194"/>
      <c r="E103" s="194"/>
      <c r="F103" s="194">
        <f t="shared" si="1"/>
      </c>
      <c r="G103" s="192">
        <f>IF(G100="","",G100)</f>
      </c>
      <c r="H103" s="192" t="str">
        <f>IF(H100="","",H100)</f>
        <v>Летичівський р-н</v>
      </c>
      <c r="I103" s="192">
        <f>IF(I100="","",I100)</f>
      </c>
      <c r="J103" s="378"/>
      <c r="K103" s="376"/>
      <c r="L103" s="7"/>
      <c r="M103" s="7"/>
      <c r="N103" s="204" t="s">
        <v>215</v>
      </c>
      <c r="O103" s="204">
        <v>100</v>
      </c>
      <c r="P103" s="205">
        <v>101</v>
      </c>
      <c r="Q103" s="205">
        <v>102</v>
      </c>
      <c r="R103" s="205">
        <v>103</v>
      </c>
      <c r="S103" s="205">
        <v>104</v>
      </c>
      <c r="T103" s="205">
        <v>105</v>
      </c>
      <c r="U103" s="206">
        <v>106</v>
      </c>
      <c r="V103" s="7"/>
      <c r="W103" s="7"/>
      <c r="X103" s="7"/>
      <c r="AE103" s="189"/>
      <c r="AF103" s="199"/>
      <c r="AG103" s="199"/>
      <c r="AH103" s="199"/>
      <c r="AI103" s="199"/>
      <c r="AJ103" s="199"/>
      <c r="AK103" s="199"/>
    </row>
    <row r="104" spans="1:37" ht="15.75" customHeight="1" thickBot="1">
      <c r="A104" s="191">
        <v>104</v>
      </c>
      <c r="B104" s="192"/>
      <c r="C104" s="193"/>
      <c r="D104" s="194"/>
      <c r="E104" s="194"/>
      <c r="F104" s="194">
        <f t="shared" si="1"/>
      </c>
      <c r="G104" s="192">
        <f>IF(G100="","",G100)</f>
      </c>
      <c r="H104" s="192" t="str">
        <f>IF(H100="","",H100)</f>
        <v>Летичівський р-н</v>
      </c>
      <c r="I104" s="192">
        <f>IF(I100="","",I100)</f>
      </c>
      <c r="J104" s="378"/>
      <c r="K104" s="376"/>
      <c r="L104" s="7"/>
      <c r="M104" s="7"/>
      <c r="N104" s="7"/>
      <c r="O104" s="275"/>
      <c r="P104" s="275">
        <v>100</v>
      </c>
      <c r="Q104" s="276"/>
      <c r="R104" s="276"/>
      <c r="S104" s="276"/>
      <c r="T104" s="276"/>
      <c r="U104" s="276"/>
      <c r="V104" s="277"/>
      <c r="W104" s="7"/>
      <c r="X104" s="7"/>
      <c r="AE104" s="189"/>
      <c r="AF104" s="199"/>
      <c r="AG104" s="199"/>
      <c r="AH104" s="199"/>
      <c r="AI104" s="199"/>
      <c r="AJ104" s="199"/>
      <c r="AK104" s="199"/>
    </row>
    <row r="105" spans="1:37" ht="15.75" customHeight="1" thickBot="1">
      <c r="A105" s="191">
        <v>105</v>
      </c>
      <c r="B105" s="222"/>
      <c r="C105" s="193"/>
      <c r="D105" s="194"/>
      <c r="E105" s="194"/>
      <c r="F105" s="194">
        <f t="shared" si="1"/>
      </c>
      <c r="G105" s="192">
        <f>IF(G100="","",G100)</f>
      </c>
      <c r="H105" s="192" t="str">
        <f>IF(H100="","",H100)</f>
        <v>Летичівський р-н</v>
      </c>
      <c r="I105" s="192">
        <f>IF(I100="","",I100)</f>
      </c>
      <c r="J105" s="378"/>
      <c r="K105" s="376"/>
      <c r="L105" s="7"/>
      <c r="M105" s="7"/>
      <c r="N105" s="7"/>
      <c r="O105" s="7"/>
      <c r="P105" s="207" t="s">
        <v>106</v>
      </c>
      <c r="Q105" s="207">
        <v>100</v>
      </c>
      <c r="R105" s="208"/>
      <c r="S105" s="208"/>
      <c r="T105" s="208"/>
      <c r="U105" s="208"/>
      <c r="V105" s="209"/>
      <c r="W105" s="208"/>
      <c r="X105" s="7"/>
      <c r="AE105" s="189"/>
      <c r="AF105" s="199"/>
      <c r="AG105" s="199"/>
      <c r="AH105" s="199"/>
      <c r="AI105" s="199"/>
      <c r="AJ105" s="199"/>
      <c r="AK105" s="199"/>
    </row>
    <row r="106" spans="1:37" ht="15.75" customHeight="1">
      <c r="A106" s="191">
        <v>106</v>
      </c>
      <c r="B106" s="192"/>
      <c r="C106" s="193"/>
      <c r="D106" s="194"/>
      <c r="E106" s="194"/>
      <c r="F106" s="194">
        <f t="shared" si="1"/>
      </c>
      <c r="G106" s="192">
        <f>IF(G100="","",G100)</f>
      </c>
      <c r="H106" s="192" t="str">
        <f>IF(H100="","",H100)</f>
        <v>Летичівський р-н</v>
      </c>
      <c r="I106" s="192">
        <f>IF(I100="","",I100)</f>
      </c>
      <c r="J106" s="378"/>
      <c r="K106" s="376"/>
      <c r="L106" s="7"/>
      <c r="M106" s="7"/>
      <c r="N106" s="7"/>
      <c r="O106" s="7"/>
      <c r="P106" s="7"/>
      <c r="Q106" s="207" t="s">
        <v>107</v>
      </c>
      <c r="R106" s="207">
        <v>100</v>
      </c>
      <c r="S106" s="208"/>
      <c r="T106" s="208"/>
      <c r="U106" s="208"/>
      <c r="V106" s="208"/>
      <c r="W106" s="209"/>
      <c r="X106" s="208"/>
      <c r="AE106" s="189"/>
      <c r="AF106" s="199"/>
      <c r="AG106" s="199"/>
      <c r="AH106" s="199"/>
      <c r="AI106" s="199"/>
      <c r="AJ106" s="199"/>
      <c r="AK106" s="199"/>
    </row>
    <row r="107" spans="1:37" ht="15.75" customHeight="1">
      <c r="A107" s="191">
        <v>107</v>
      </c>
      <c r="B107" s="192"/>
      <c r="C107" s="193"/>
      <c r="D107" s="194"/>
      <c r="E107" s="194"/>
      <c r="F107" s="194">
        <f t="shared" si="1"/>
      </c>
      <c r="G107" s="192">
        <f>IF(G100="","",G100)</f>
      </c>
      <c r="H107" s="192" t="str">
        <f>IF(H100="","",H100)</f>
        <v>Летичівський р-н</v>
      </c>
      <c r="I107" s="192">
        <f>IF(I100="","",I100)</f>
      </c>
      <c r="J107" s="378"/>
      <c r="K107" s="37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AE107" s="189"/>
      <c r="AF107" s="199"/>
      <c r="AG107" s="199"/>
      <c r="AH107" s="199"/>
      <c r="AI107" s="199"/>
      <c r="AJ107" s="199"/>
      <c r="AK107" s="199"/>
    </row>
    <row r="108" spans="1:37" ht="15.75" customHeight="1">
      <c r="A108" s="191">
        <v>108</v>
      </c>
      <c r="B108" s="192"/>
      <c r="C108" s="193"/>
      <c r="D108" s="194"/>
      <c r="E108" s="194"/>
      <c r="F108" s="194">
        <f t="shared" si="1"/>
      </c>
      <c r="G108" s="192">
        <f>IF(G100="","",G100)</f>
      </c>
      <c r="H108" s="192" t="str">
        <f>IF(H100="","",H100)</f>
        <v>Летичівський р-н</v>
      </c>
      <c r="I108" s="192">
        <f>IF(I100="","",I100)</f>
      </c>
      <c r="J108" s="378"/>
      <c r="K108" s="37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AE108" s="189"/>
      <c r="AF108" s="199"/>
      <c r="AG108" s="199"/>
      <c r="AH108" s="199"/>
      <c r="AI108" s="199"/>
      <c r="AJ108" s="199"/>
      <c r="AK108" s="199"/>
    </row>
    <row r="109" spans="1:37" ht="15.75" customHeight="1" thickBot="1">
      <c r="A109" s="191">
        <v>109</v>
      </c>
      <c r="B109" s="192"/>
      <c r="C109" s="193"/>
      <c r="D109" s="194"/>
      <c r="E109" s="194"/>
      <c r="F109" s="194">
        <f t="shared" si="1"/>
      </c>
      <c r="G109" s="192">
        <f>IF(G100="","",G100)</f>
      </c>
      <c r="H109" s="192" t="str">
        <f>IF(H100="","",H100)</f>
        <v>Летичівський р-н</v>
      </c>
      <c r="I109" s="192">
        <f>IF(I100="","",I100)</f>
      </c>
      <c r="J109" s="378"/>
      <c r="K109" s="37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AE109" s="189"/>
      <c r="AF109" s="199"/>
      <c r="AG109" s="199"/>
      <c r="AH109" s="199"/>
      <c r="AI109" s="199"/>
      <c r="AJ109" s="199"/>
      <c r="AK109" s="199"/>
    </row>
    <row r="110" spans="1:37" ht="15.75" customHeight="1" thickBot="1">
      <c r="A110" s="180">
        <v>110</v>
      </c>
      <c r="B110" s="181"/>
      <c r="C110" s="182"/>
      <c r="D110" s="183"/>
      <c r="E110" s="183"/>
      <c r="F110" s="183">
        <f t="shared" si="1"/>
      </c>
      <c r="G110" s="239" t="s">
        <v>248</v>
      </c>
      <c r="H110" s="181" t="s">
        <v>56</v>
      </c>
      <c r="I110" s="181"/>
      <c r="J110" s="375"/>
      <c r="K110" s="376"/>
      <c r="L110" s="184">
        <v>110</v>
      </c>
      <c r="M110" s="185"/>
      <c r="N110" s="186"/>
      <c r="O110" s="186"/>
      <c r="P110" s="187"/>
      <c r="Q110" s="7"/>
      <c r="R110" s="7"/>
      <c r="AE110" s="189" t="str">
        <f>IF(COUNTIF($D110:$D119,AE$9)=0,"—",COUNTIF($D110:$D119,AE$9))</f>
        <v>—</v>
      </c>
      <c r="AF110" s="189" t="str">
        <f>IF(COUNTIF($D110:$D119,AF$9)=0,"—",COUNTIF($D110:$D119,AF$9))</f>
        <v>—</v>
      </c>
      <c r="AG110" s="189" t="str">
        <f>IF(COUNTIF($D110:$D119,AG$9)=0,"—",COUNTIF($D110:$D119,AG$9))</f>
        <v>—</v>
      </c>
      <c r="AH110" s="189" t="str">
        <f>IF(COUNTIF($D110:$D119,AH$9)=0,"—",COUNTIF($D110:$D119,AH$9))</f>
        <v>—</v>
      </c>
      <c r="AI110" s="189" t="str">
        <f>IF(COUNTIF($D110:$D119,AI$9)=0,"—",COUNTIF($D110:$D119,AI$9))</f>
        <v>—</v>
      </c>
      <c r="AJ110" s="189">
        <f>IF(COUNTIF($F110:$F119,AJ$9)=0,"—",COUNTIF($F110:$F119,AJ$9))</f>
        <v>6</v>
      </c>
      <c r="AK110" s="189">
        <f>IF(COUNTIF($F110:$F119,AK$9)=0,"—",COUNTIF($F110:$F119,AK$9))</f>
        <v>2</v>
      </c>
    </row>
    <row r="111" spans="1:37" ht="15.75" customHeight="1" thickBot="1">
      <c r="A111" s="191">
        <v>111</v>
      </c>
      <c r="B111" s="192" t="s">
        <v>186</v>
      </c>
      <c r="C111" s="193">
        <v>27387</v>
      </c>
      <c r="D111" s="194" t="s">
        <v>181</v>
      </c>
      <c r="E111" s="194"/>
      <c r="F111" s="194" t="str">
        <f t="shared" si="1"/>
        <v>ч</v>
      </c>
      <c r="G111" s="192" t="str">
        <f>IF(G110="","",G110)</f>
        <v>Новоушицького р-ну</v>
      </c>
      <c r="H111" s="192" t="str">
        <f>IF(H110="","",H110)</f>
        <v>Новоушицький р-н</v>
      </c>
      <c r="I111" s="192">
        <f>IF(I110="","",I110)</f>
      </c>
      <c r="J111" s="378" t="s">
        <v>169</v>
      </c>
      <c r="K111" s="376"/>
      <c r="L111" s="7"/>
      <c r="M111" s="195">
        <v>110</v>
      </c>
      <c r="N111" s="196"/>
      <c r="O111" s="197"/>
      <c r="P111" s="197"/>
      <c r="Q111" s="198"/>
      <c r="R111" s="7"/>
      <c r="S111" s="7"/>
      <c r="T111" s="7"/>
      <c r="U111" s="7"/>
      <c r="V111" s="7"/>
      <c r="W111" s="7"/>
      <c r="X111" s="7"/>
      <c r="AE111" s="189"/>
      <c r="AF111" s="199"/>
      <c r="AG111" s="199"/>
      <c r="AH111" s="199"/>
      <c r="AI111" s="199"/>
      <c r="AJ111" s="199"/>
      <c r="AK111" s="199"/>
    </row>
    <row r="112" spans="1:37" ht="15.75" customHeight="1" thickBot="1">
      <c r="A112" s="191">
        <v>112</v>
      </c>
      <c r="B112" s="222" t="s">
        <v>382</v>
      </c>
      <c r="C112" s="193">
        <v>26976</v>
      </c>
      <c r="D112" s="194" t="s">
        <v>181</v>
      </c>
      <c r="E112" s="194"/>
      <c r="F112" s="194" t="str">
        <f t="shared" si="1"/>
        <v>ж</v>
      </c>
      <c r="G112" s="192" t="str">
        <f>IF(G110="","",G110)</f>
        <v>Новоушицького р-ну</v>
      </c>
      <c r="H112" s="192" t="str">
        <f>IF(H110="","",H110)</f>
        <v>Новоушицький р-н</v>
      </c>
      <c r="I112" s="192">
        <f>IF(I110="","",I110)</f>
      </c>
      <c r="J112" s="378" t="s">
        <v>169</v>
      </c>
      <c r="K112" s="376"/>
      <c r="L112" s="7"/>
      <c r="M112" s="7"/>
      <c r="N112" s="200">
        <v>110</v>
      </c>
      <c r="O112" s="201"/>
      <c r="P112" s="202"/>
      <c r="Q112" s="202"/>
      <c r="R112" s="203"/>
      <c r="S112" s="7"/>
      <c r="T112" s="7"/>
      <c r="U112" s="7"/>
      <c r="V112" s="7"/>
      <c r="W112" s="7"/>
      <c r="X112" s="7"/>
      <c r="AE112" s="189"/>
      <c r="AF112" s="199"/>
      <c r="AG112" s="199"/>
      <c r="AH112" s="199"/>
      <c r="AI112" s="199"/>
      <c r="AJ112" s="199"/>
      <c r="AK112" s="199"/>
    </row>
    <row r="113" spans="1:37" ht="15.75" customHeight="1" thickBot="1">
      <c r="A113" s="191">
        <v>113</v>
      </c>
      <c r="B113" s="222" t="s">
        <v>383</v>
      </c>
      <c r="C113" s="193">
        <v>34183</v>
      </c>
      <c r="D113" s="194" t="s">
        <v>181</v>
      </c>
      <c r="E113" s="194"/>
      <c r="F113" s="194" t="str">
        <f t="shared" si="1"/>
        <v>ч</v>
      </c>
      <c r="G113" s="192" t="str">
        <f>IF(G110="","",G110)</f>
        <v>Новоушицького р-ну</v>
      </c>
      <c r="H113" s="192" t="str">
        <f>IF(H110="","",H110)</f>
        <v>Новоушицький р-н</v>
      </c>
      <c r="I113" s="192">
        <f>IF(I110="","",I110)</f>
      </c>
      <c r="J113" s="378" t="s">
        <v>169</v>
      </c>
      <c r="K113" s="376"/>
      <c r="L113" s="7"/>
      <c r="M113" s="7"/>
      <c r="N113" s="204" t="s">
        <v>215</v>
      </c>
      <c r="O113" s="204">
        <v>110</v>
      </c>
      <c r="P113" s="205">
        <v>113</v>
      </c>
      <c r="Q113" s="205">
        <v>115</v>
      </c>
      <c r="R113" s="205">
        <v>112</v>
      </c>
      <c r="S113" s="205">
        <v>118</v>
      </c>
      <c r="T113" s="205">
        <v>111</v>
      </c>
      <c r="U113" s="206">
        <v>116</v>
      </c>
      <c r="V113" s="7"/>
      <c r="W113" s="7"/>
      <c r="X113" s="7"/>
      <c r="AE113" s="189"/>
      <c r="AF113" s="199"/>
      <c r="AG113" s="199"/>
      <c r="AH113" s="199"/>
      <c r="AI113" s="199"/>
      <c r="AJ113" s="199"/>
      <c r="AK113" s="199"/>
    </row>
    <row r="114" spans="1:37" ht="15.75" customHeight="1" thickBot="1">
      <c r="A114" s="191">
        <v>114</v>
      </c>
      <c r="B114" s="222" t="s">
        <v>384</v>
      </c>
      <c r="C114" s="193">
        <v>34375</v>
      </c>
      <c r="D114" s="194" t="s">
        <v>181</v>
      </c>
      <c r="E114" s="194"/>
      <c r="F114" s="194" t="str">
        <f t="shared" si="1"/>
        <v>ч</v>
      </c>
      <c r="G114" s="192" t="str">
        <f>IF(G110="","",G110)</f>
        <v>Новоушицького р-ну</v>
      </c>
      <c r="H114" s="192" t="str">
        <f>IF(H110="","",H110)</f>
        <v>Новоушицький р-н</v>
      </c>
      <c r="I114" s="192">
        <f>IF(I110="","",I110)</f>
      </c>
      <c r="J114" s="378" t="s">
        <v>169</v>
      </c>
      <c r="K114" s="376"/>
      <c r="L114" s="7"/>
      <c r="M114" s="7"/>
      <c r="N114" s="7"/>
      <c r="O114" s="275"/>
      <c r="P114" s="275">
        <v>110</v>
      </c>
      <c r="Q114" s="276"/>
      <c r="R114" s="276"/>
      <c r="S114" s="276"/>
      <c r="T114" s="276"/>
      <c r="U114" s="276"/>
      <c r="V114" s="277"/>
      <c r="W114" s="7"/>
      <c r="X114" s="7"/>
      <c r="AE114" s="189"/>
      <c r="AF114" s="199"/>
      <c r="AG114" s="199"/>
      <c r="AH114" s="199"/>
      <c r="AI114" s="199"/>
      <c r="AJ114" s="199"/>
      <c r="AK114" s="199"/>
    </row>
    <row r="115" spans="1:37" ht="15.75" customHeight="1" thickBot="1">
      <c r="A115" s="191">
        <v>115</v>
      </c>
      <c r="B115" s="192" t="s">
        <v>187</v>
      </c>
      <c r="C115" s="193">
        <v>31815</v>
      </c>
      <c r="D115" s="194" t="s">
        <v>181</v>
      </c>
      <c r="E115" s="194"/>
      <c r="F115" s="194" t="str">
        <f t="shared" si="1"/>
        <v>ч</v>
      </c>
      <c r="G115" s="192" t="str">
        <f>IF(G110="","",G110)</f>
        <v>Новоушицького р-ну</v>
      </c>
      <c r="H115" s="192" t="str">
        <f>IF(H110="","",H110)</f>
        <v>Новоушицький р-н</v>
      </c>
      <c r="I115" s="192">
        <f>IF(I110="","",I110)</f>
      </c>
      <c r="J115" s="378" t="s">
        <v>169</v>
      </c>
      <c r="K115" s="376"/>
      <c r="L115" s="7"/>
      <c r="M115" s="7"/>
      <c r="N115" s="7"/>
      <c r="O115" s="7"/>
      <c r="P115" s="207" t="s">
        <v>106</v>
      </c>
      <c r="Q115" s="207">
        <v>110</v>
      </c>
      <c r="R115" s="208"/>
      <c r="S115" s="208"/>
      <c r="T115" s="208"/>
      <c r="U115" s="208"/>
      <c r="V115" s="209"/>
      <c r="W115" s="208"/>
      <c r="X115" s="7"/>
      <c r="AE115" s="189"/>
      <c r="AF115" s="199"/>
      <c r="AG115" s="199"/>
      <c r="AH115" s="199"/>
      <c r="AI115" s="199"/>
      <c r="AJ115" s="199"/>
      <c r="AK115" s="199"/>
    </row>
    <row r="116" spans="1:37" ht="15.75" customHeight="1">
      <c r="A116" s="191">
        <v>116</v>
      </c>
      <c r="B116" s="222" t="s">
        <v>304</v>
      </c>
      <c r="C116" s="193">
        <v>33179</v>
      </c>
      <c r="D116" s="194" t="s">
        <v>181</v>
      </c>
      <c r="E116" s="194"/>
      <c r="F116" s="194" t="str">
        <f t="shared" si="1"/>
        <v>ж</v>
      </c>
      <c r="G116" s="192" t="str">
        <f>IF(G110="","",G110)</f>
        <v>Новоушицького р-ну</v>
      </c>
      <c r="H116" s="192" t="str">
        <f>IF(H110="","",H110)</f>
        <v>Новоушицький р-н</v>
      </c>
      <c r="I116" s="192">
        <f>IF(I110="","",I110)</f>
      </c>
      <c r="J116" s="378" t="s">
        <v>169</v>
      </c>
      <c r="K116" s="376"/>
      <c r="L116" s="7"/>
      <c r="M116" s="7"/>
      <c r="N116" s="7"/>
      <c r="O116" s="7"/>
      <c r="P116" s="7"/>
      <c r="Q116" s="207" t="s">
        <v>107</v>
      </c>
      <c r="R116" s="207">
        <v>110</v>
      </c>
      <c r="S116" s="208"/>
      <c r="T116" s="208"/>
      <c r="U116" s="208"/>
      <c r="V116" s="208"/>
      <c r="W116" s="209"/>
      <c r="X116" s="208"/>
      <c r="AE116" s="189"/>
      <c r="AF116" s="199"/>
      <c r="AG116" s="199"/>
      <c r="AH116" s="199"/>
      <c r="AI116" s="199"/>
      <c r="AJ116" s="199"/>
      <c r="AK116" s="199"/>
    </row>
    <row r="117" spans="1:37" ht="15.75" customHeight="1">
      <c r="A117" s="191">
        <v>117</v>
      </c>
      <c r="B117" s="222" t="s">
        <v>305</v>
      </c>
      <c r="C117" s="193">
        <v>33096</v>
      </c>
      <c r="D117" s="194" t="s">
        <v>181</v>
      </c>
      <c r="E117" s="194"/>
      <c r="F117" s="194" t="str">
        <f t="shared" si="1"/>
        <v>ч</v>
      </c>
      <c r="G117" s="192" t="str">
        <f>IF(G110="","",G110)</f>
        <v>Новоушицького р-ну</v>
      </c>
      <c r="H117" s="192" t="str">
        <f>IF(H110="","",H110)</f>
        <v>Новоушицький р-н</v>
      </c>
      <c r="I117" s="192">
        <f>IF(I110="","",I110)</f>
      </c>
      <c r="J117" s="378" t="s">
        <v>169</v>
      </c>
      <c r="K117" s="376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AE117" s="189"/>
      <c r="AF117" s="199"/>
      <c r="AG117" s="199"/>
      <c r="AH117" s="199"/>
      <c r="AI117" s="199"/>
      <c r="AJ117" s="199"/>
      <c r="AK117" s="199"/>
    </row>
    <row r="118" spans="1:37" ht="15.75" customHeight="1">
      <c r="A118" s="191">
        <v>118</v>
      </c>
      <c r="B118" s="222" t="s">
        <v>385</v>
      </c>
      <c r="C118" s="193">
        <v>28454</v>
      </c>
      <c r="D118" s="194" t="s">
        <v>181</v>
      </c>
      <c r="E118" s="194"/>
      <c r="F118" s="194" t="str">
        <f t="shared" si="1"/>
        <v>ч</v>
      </c>
      <c r="G118" s="192" t="str">
        <f>IF(G110="","",G110)</f>
        <v>Новоушицького р-ну</v>
      </c>
      <c r="H118" s="192" t="str">
        <f>IF(H110="","",H110)</f>
        <v>Новоушицький р-н</v>
      </c>
      <c r="I118" s="192">
        <f>IF(I110="","",I110)</f>
      </c>
      <c r="J118" s="378" t="s">
        <v>169</v>
      </c>
      <c r="K118" s="376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AE118" s="189"/>
      <c r="AF118" s="199"/>
      <c r="AG118" s="199"/>
      <c r="AH118" s="199"/>
      <c r="AI118" s="199"/>
      <c r="AJ118" s="199"/>
      <c r="AK118" s="199"/>
    </row>
    <row r="119" spans="1:37" ht="15.75" customHeight="1" thickBot="1">
      <c r="A119" s="191">
        <v>119</v>
      </c>
      <c r="B119" s="192"/>
      <c r="C119" s="193"/>
      <c r="D119" s="194"/>
      <c r="E119" s="194"/>
      <c r="F119" s="194">
        <f t="shared" si="1"/>
      </c>
      <c r="G119" s="192" t="str">
        <f>IF(G110="","",G110)</f>
        <v>Новоушицького р-ну</v>
      </c>
      <c r="H119" s="192" t="str">
        <f>IF(H110="","",H110)</f>
        <v>Новоушицький р-н</v>
      </c>
      <c r="I119" s="192">
        <f>IF(I110="","",I110)</f>
      </c>
      <c r="J119" s="378"/>
      <c r="K119" s="37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AE119" s="189"/>
      <c r="AF119" s="199"/>
      <c r="AG119" s="199"/>
      <c r="AH119" s="199"/>
      <c r="AI119" s="199"/>
      <c r="AJ119" s="199"/>
      <c r="AK119" s="199"/>
    </row>
    <row r="120" spans="1:37" ht="15.75" customHeight="1" thickBot="1">
      <c r="A120" s="180">
        <v>120</v>
      </c>
      <c r="B120" s="181"/>
      <c r="C120" s="182"/>
      <c r="D120" s="183"/>
      <c r="E120" s="183"/>
      <c r="F120" s="183">
        <f t="shared" si="1"/>
      </c>
      <c r="G120" s="181" t="s">
        <v>59</v>
      </c>
      <c r="H120" s="181" t="s">
        <v>51</v>
      </c>
      <c r="I120" s="181"/>
      <c r="J120" s="375"/>
      <c r="K120" s="376"/>
      <c r="L120" s="184">
        <v>120</v>
      </c>
      <c r="M120" s="185"/>
      <c r="N120" s="186"/>
      <c r="O120" s="186"/>
      <c r="P120" s="187"/>
      <c r="Q120" s="7"/>
      <c r="R120" s="7"/>
      <c r="AE120" s="189" t="str">
        <f>IF(COUNTIF($D120:$D129,AE$9)=0,"—",COUNTIF($D120:$D129,AE$9))</f>
        <v>—</v>
      </c>
      <c r="AF120" s="189">
        <f>IF(COUNTIF($D120:$D129,AF$9)=0,"—",COUNTIF($D120:$D129,AF$9))</f>
        <v>4</v>
      </c>
      <c r="AG120" s="189" t="str">
        <f>IF(COUNTIF($D120:$D129,AG$9)=0,"—",COUNTIF($D120:$D129,AG$9))</f>
        <v>—</v>
      </c>
      <c r="AH120" s="189">
        <f>IF(COUNTIF($D120:$D129,AH$9)=0,"—",COUNTIF($D120:$D129,AH$9))</f>
        <v>4</v>
      </c>
      <c r="AI120" s="189" t="str">
        <f>IF(COUNTIF($D120:$D129,AI$9)=0,"—",COUNTIF($D120:$D129,AI$9))</f>
        <v>—</v>
      </c>
      <c r="AJ120" s="189">
        <f>IF(COUNTIF($F120:$F129,AJ$9)=0,"—",COUNTIF($F120:$F129,AJ$9))</f>
        <v>6</v>
      </c>
      <c r="AK120" s="189">
        <f>IF(COUNTIF($F120:$F129,AK$9)=0,"—",COUNTIF($F120:$F129,AK$9))</f>
        <v>2</v>
      </c>
    </row>
    <row r="121" spans="1:37" ht="15.75" customHeight="1" thickBot="1">
      <c r="A121" s="191">
        <v>121</v>
      </c>
      <c r="B121" s="192" t="s">
        <v>170</v>
      </c>
      <c r="C121" s="193">
        <v>24673</v>
      </c>
      <c r="D121" s="223" t="s">
        <v>37</v>
      </c>
      <c r="E121" s="194"/>
      <c r="F121" s="194" t="str">
        <f t="shared" si="1"/>
        <v>ч</v>
      </c>
      <c r="G121" s="192" t="str">
        <f>IF(G120="","",G120)</f>
        <v>Полонського р-ну</v>
      </c>
      <c r="H121" s="192" t="str">
        <f>IF(H120="","",H120)</f>
        <v>Полонський р-н</v>
      </c>
      <c r="I121" s="192">
        <f>IF(I120="","",I120)</f>
      </c>
      <c r="J121" s="377" t="s">
        <v>318</v>
      </c>
      <c r="K121" s="376"/>
      <c r="L121" s="7"/>
      <c r="M121" s="195">
        <v>120</v>
      </c>
      <c r="N121" s="196"/>
      <c r="O121" s="197"/>
      <c r="P121" s="197"/>
      <c r="Q121" s="198"/>
      <c r="R121" s="7"/>
      <c r="S121" s="7"/>
      <c r="T121" s="7"/>
      <c r="U121" s="7"/>
      <c r="V121" s="7"/>
      <c r="W121" s="7"/>
      <c r="X121" s="7"/>
      <c r="AE121" s="189"/>
      <c r="AF121" s="199"/>
      <c r="AG121" s="199"/>
      <c r="AH121" s="199"/>
      <c r="AI121" s="199"/>
      <c r="AJ121" s="199"/>
      <c r="AK121" s="199"/>
    </row>
    <row r="122" spans="1:37" ht="15.75" customHeight="1" thickBot="1">
      <c r="A122" s="191">
        <v>122</v>
      </c>
      <c r="B122" s="222" t="s">
        <v>400</v>
      </c>
      <c r="C122" s="193">
        <v>34161</v>
      </c>
      <c r="D122" s="223" t="s">
        <v>71</v>
      </c>
      <c r="E122" s="194"/>
      <c r="F122" s="194" t="str">
        <f t="shared" si="1"/>
        <v>ж</v>
      </c>
      <c r="G122" s="192" t="str">
        <f>IF(G120="","",G120)</f>
        <v>Полонського р-ну</v>
      </c>
      <c r="H122" s="192" t="str">
        <f>IF(H120="","",H120)</f>
        <v>Полонський р-н</v>
      </c>
      <c r="I122" s="192">
        <f>IF(I120="","",I120)</f>
      </c>
      <c r="J122" s="378" t="s">
        <v>318</v>
      </c>
      <c r="K122" s="376"/>
      <c r="L122" s="7"/>
      <c r="M122" s="7"/>
      <c r="N122" s="200">
        <v>120</v>
      </c>
      <c r="O122" s="201"/>
      <c r="P122" s="202"/>
      <c r="Q122" s="202"/>
      <c r="R122" s="203"/>
      <c r="S122" s="7"/>
      <c r="T122" s="7"/>
      <c r="U122" s="7"/>
      <c r="V122" s="7"/>
      <c r="W122" s="7"/>
      <c r="X122" s="7"/>
      <c r="AE122" s="189"/>
      <c r="AF122" s="199"/>
      <c r="AG122" s="199"/>
      <c r="AH122" s="199"/>
      <c r="AI122" s="199"/>
      <c r="AJ122" s="199"/>
      <c r="AK122" s="199"/>
    </row>
    <row r="123" spans="1:37" ht="15.75" customHeight="1" thickBot="1">
      <c r="A123" s="191">
        <v>123</v>
      </c>
      <c r="B123" s="222" t="s">
        <v>401</v>
      </c>
      <c r="C123" s="193">
        <v>33645</v>
      </c>
      <c r="D123" s="223" t="s">
        <v>37</v>
      </c>
      <c r="E123" s="194"/>
      <c r="F123" s="194" t="str">
        <f t="shared" si="1"/>
        <v>ч</v>
      </c>
      <c r="G123" s="192" t="str">
        <f>IF(G120="","",G120)</f>
        <v>Полонського р-ну</v>
      </c>
      <c r="H123" s="192" t="str">
        <f>IF(H120="","",H120)</f>
        <v>Полонський р-н</v>
      </c>
      <c r="I123" s="192">
        <f>IF(I120="","",I120)</f>
      </c>
      <c r="J123" s="378" t="s">
        <v>318</v>
      </c>
      <c r="K123" s="376"/>
      <c r="L123" s="7"/>
      <c r="M123" s="7"/>
      <c r="N123" s="204" t="s">
        <v>215</v>
      </c>
      <c r="O123" s="204">
        <v>120</v>
      </c>
      <c r="P123" s="205">
        <v>121</v>
      </c>
      <c r="Q123" s="205">
        <v>122</v>
      </c>
      <c r="R123" s="205">
        <v>123</v>
      </c>
      <c r="S123" s="205">
        <v>124</v>
      </c>
      <c r="T123" s="205">
        <v>126</v>
      </c>
      <c r="U123" s="206">
        <v>127</v>
      </c>
      <c r="V123" s="7"/>
      <c r="W123" s="7"/>
      <c r="X123" s="7"/>
      <c r="AE123" s="189"/>
      <c r="AF123" s="199"/>
      <c r="AG123" s="199"/>
      <c r="AH123" s="199"/>
      <c r="AI123" s="199"/>
      <c r="AJ123" s="199"/>
      <c r="AK123" s="199"/>
    </row>
    <row r="124" spans="1:37" ht="15.75" customHeight="1" thickBot="1">
      <c r="A124" s="191">
        <v>124</v>
      </c>
      <c r="B124" s="222" t="s">
        <v>171</v>
      </c>
      <c r="C124" s="193">
        <v>27346</v>
      </c>
      <c r="D124" s="194" t="s">
        <v>71</v>
      </c>
      <c r="E124" s="194"/>
      <c r="F124" s="194" t="str">
        <f t="shared" si="1"/>
        <v>ч</v>
      </c>
      <c r="G124" s="192" t="str">
        <f>IF(G120="","",G120)</f>
        <v>Полонського р-ну</v>
      </c>
      <c r="H124" s="192" t="str">
        <f>IF(H120="","",H120)</f>
        <v>Полонський р-н</v>
      </c>
      <c r="I124" s="192">
        <f>IF(I120="","",I120)</f>
      </c>
      <c r="J124" s="378" t="s">
        <v>318</v>
      </c>
      <c r="K124" s="376"/>
      <c r="L124" s="7"/>
      <c r="M124" s="7"/>
      <c r="N124" s="7"/>
      <c r="O124" s="275"/>
      <c r="P124" s="275">
        <v>120</v>
      </c>
      <c r="Q124" s="276"/>
      <c r="R124" s="276"/>
      <c r="S124" s="276"/>
      <c r="T124" s="276"/>
      <c r="U124" s="276"/>
      <c r="V124" s="277"/>
      <c r="W124" s="7"/>
      <c r="X124" s="7"/>
      <c r="AE124" s="189"/>
      <c r="AF124" s="199"/>
      <c r="AG124" s="199"/>
      <c r="AH124" s="199"/>
      <c r="AI124" s="199"/>
      <c r="AJ124" s="199"/>
      <c r="AK124" s="199"/>
    </row>
    <row r="125" spans="1:37" ht="15.75" customHeight="1" thickBot="1">
      <c r="A125" s="191">
        <v>125</v>
      </c>
      <c r="B125" s="222" t="s">
        <v>402</v>
      </c>
      <c r="C125" s="193">
        <v>35045</v>
      </c>
      <c r="D125" s="223" t="s">
        <v>71</v>
      </c>
      <c r="E125" s="194"/>
      <c r="F125" s="194" t="str">
        <f t="shared" si="1"/>
        <v>ч</v>
      </c>
      <c r="G125" s="192" t="str">
        <f>IF(G120="","",G120)</f>
        <v>Полонського р-ну</v>
      </c>
      <c r="H125" s="192" t="str">
        <f>IF(H120="","",H120)</f>
        <v>Полонський р-н</v>
      </c>
      <c r="I125" s="192">
        <f>IF(I120="","",I120)</f>
      </c>
      <c r="J125" s="378" t="s">
        <v>318</v>
      </c>
      <c r="K125" s="376"/>
      <c r="L125" s="7"/>
      <c r="M125" s="7"/>
      <c r="N125" s="7"/>
      <c r="O125" s="7"/>
      <c r="P125" s="207" t="s">
        <v>106</v>
      </c>
      <c r="Q125" s="207">
        <v>120</v>
      </c>
      <c r="R125" s="208"/>
      <c r="S125" s="208"/>
      <c r="T125" s="208"/>
      <c r="U125" s="208"/>
      <c r="V125" s="209"/>
      <c r="W125" s="208"/>
      <c r="X125" s="7"/>
      <c r="AE125" s="189"/>
      <c r="AF125" s="199"/>
      <c r="AG125" s="199"/>
      <c r="AH125" s="199"/>
      <c r="AI125" s="199"/>
      <c r="AJ125" s="199"/>
      <c r="AK125" s="199"/>
    </row>
    <row r="126" spans="1:37" ht="15.75" customHeight="1">
      <c r="A126" s="191">
        <v>126</v>
      </c>
      <c r="B126" s="222" t="s">
        <v>403</v>
      </c>
      <c r="C126" s="193">
        <v>34686</v>
      </c>
      <c r="D126" s="223" t="s">
        <v>71</v>
      </c>
      <c r="E126" s="194"/>
      <c r="F126" s="194" t="str">
        <f t="shared" si="1"/>
        <v>ч</v>
      </c>
      <c r="G126" s="192" t="str">
        <f>IF(G120="","",G120)</f>
        <v>Полонського р-ну</v>
      </c>
      <c r="H126" s="192" t="str">
        <f>IF(H120="","",H120)</f>
        <v>Полонський р-н</v>
      </c>
      <c r="I126" s="192">
        <f>IF(I120="","",I120)</f>
      </c>
      <c r="J126" s="378" t="s">
        <v>318</v>
      </c>
      <c r="K126" s="376"/>
      <c r="L126" s="7"/>
      <c r="M126" s="7"/>
      <c r="N126" s="7"/>
      <c r="O126" s="7"/>
      <c r="P126" s="7"/>
      <c r="Q126" s="207" t="s">
        <v>107</v>
      </c>
      <c r="R126" s="207">
        <v>120</v>
      </c>
      <c r="S126" s="208"/>
      <c r="T126" s="208"/>
      <c r="U126" s="208"/>
      <c r="V126" s="208"/>
      <c r="W126" s="209"/>
      <c r="X126" s="208"/>
      <c r="AE126" s="189"/>
      <c r="AF126" s="199"/>
      <c r="AG126" s="199"/>
      <c r="AH126" s="199"/>
      <c r="AI126" s="199"/>
      <c r="AJ126" s="199"/>
      <c r="AK126" s="199"/>
    </row>
    <row r="127" spans="1:37" ht="15.75" customHeight="1">
      <c r="A127" s="191">
        <v>127</v>
      </c>
      <c r="B127" s="192" t="s">
        <v>172</v>
      </c>
      <c r="C127" s="193">
        <v>33436</v>
      </c>
      <c r="D127" s="223" t="s">
        <v>37</v>
      </c>
      <c r="E127" s="194"/>
      <c r="F127" s="194" t="str">
        <f t="shared" si="1"/>
        <v>ч</v>
      </c>
      <c r="G127" s="192" t="str">
        <f>IF(G120="","",G120)</f>
        <v>Полонського р-ну</v>
      </c>
      <c r="H127" s="192" t="str">
        <f>IF(H120="","",H120)</f>
        <v>Полонський р-н</v>
      </c>
      <c r="I127" s="192">
        <f>IF(I120="","",I120)</f>
      </c>
      <c r="J127" s="378" t="s">
        <v>318</v>
      </c>
      <c r="K127" s="376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AE127" s="189"/>
      <c r="AF127" s="199"/>
      <c r="AG127" s="199"/>
      <c r="AH127" s="199"/>
      <c r="AI127" s="199"/>
      <c r="AJ127" s="199"/>
      <c r="AK127" s="199"/>
    </row>
    <row r="128" spans="1:37" ht="15.75" customHeight="1">
      <c r="A128" s="191">
        <v>128</v>
      </c>
      <c r="B128" s="222" t="s">
        <v>317</v>
      </c>
      <c r="C128" s="193">
        <v>23639</v>
      </c>
      <c r="D128" s="223" t="s">
        <v>37</v>
      </c>
      <c r="E128" s="194"/>
      <c r="F128" s="194" t="str">
        <f t="shared" si="1"/>
        <v>ж</v>
      </c>
      <c r="G128" s="192" t="str">
        <f>IF(G120="","",G120)</f>
        <v>Полонського р-ну</v>
      </c>
      <c r="H128" s="192" t="str">
        <f>IF(H120="","",H120)</f>
        <v>Полонський р-н</v>
      </c>
      <c r="I128" s="192">
        <f>IF(I120="","",I120)</f>
      </c>
      <c r="J128" s="378" t="s">
        <v>318</v>
      </c>
      <c r="K128" s="376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AE128" s="189"/>
      <c r="AF128" s="199"/>
      <c r="AG128" s="199"/>
      <c r="AH128" s="199"/>
      <c r="AI128" s="199"/>
      <c r="AJ128" s="199"/>
      <c r="AK128" s="199"/>
    </row>
    <row r="129" spans="1:37" ht="15.75" customHeight="1" thickBot="1">
      <c r="A129" s="191">
        <v>129</v>
      </c>
      <c r="B129" s="192"/>
      <c r="C129" s="193"/>
      <c r="D129" s="194"/>
      <c r="E129" s="194"/>
      <c r="F129" s="194">
        <f t="shared" si="1"/>
      </c>
      <c r="G129" s="192" t="str">
        <f>IF(G120="","",G120)</f>
        <v>Полонського р-ну</v>
      </c>
      <c r="H129" s="192" t="str">
        <f>IF(H120="","",H120)</f>
        <v>Полонський р-н</v>
      </c>
      <c r="I129" s="192">
        <f>IF(I120="","",I120)</f>
      </c>
      <c r="J129" s="378"/>
      <c r="K129" s="376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AE129" s="189"/>
      <c r="AF129" s="199"/>
      <c r="AG129" s="199"/>
      <c r="AH129" s="199"/>
      <c r="AI129" s="199"/>
      <c r="AJ129" s="199"/>
      <c r="AK129" s="199"/>
    </row>
    <row r="130" spans="1:37" ht="15.75" customHeight="1" thickBot="1">
      <c r="A130" s="180">
        <v>130</v>
      </c>
      <c r="B130" s="181"/>
      <c r="C130" s="182"/>
      <c r="D130" s="183"/>
      <c r="E130" s="183"/>
      <c r="F130" s="183">
        <f t="shared" si="1"/>
      </c>
      <c r="G130" s="181"/>
      <c r="H130" s="181" t="s">
        <v>52</v>
      </c>
      <c r="I130" s="181"/>
      <c r="J130" s="375"/>
      <c r="K130" s="376"/>
      <c r="L130" s="184">
        <v>130</v>
      </c>
      <c r="M130" s="185"/>
      <c r="N130" s="186"/>
      <c r="O130" s="186"/>
      <c r="P130" s="187"/>
      <c r="Q130" s="7"/>
      <c r="R130" s="7"/>
      <c r="AE130" s="189" t="str">
        <f>IF(COUNTIF($D130:$D139,AE$9)=0,"—",COUNTIF($D130:$D139,AE$9))</f>
        <v>—</v>
      </c>
      <c r="AF130" s="189" t="str">
        <f>IF(COUNTIF($D130:$D139,AF$9)=0,"—",COUNTIF($D130:$D139,AF$9))</f>
        <v>—</v>
      </c>
      <c r="AG130" s="189" t="str">
        <f>IF(COUNTIF($D130:$D139,AG$9)=0,"—",COUNTIF($D130:$D139,AG$9))</f>
        <v>—</v>
      </c>
      <c r="AH130" s="189" t="str">
        <f>IF(COUNTIF($D130:$D139,AH$9)=0,"—",COUNTIF($D130:$D139,AH$9))</f>
        <v>—</v>
      </c>
      <c r="AI130" s="189" t="str">
        <f>IF(COUNTIF($D130:$D139,AI$9)=0,"—",COUNTIF($D130:$D139,AI$9))</f>
        <v>—</v>
      </c>
      <c r="AJ130" s="189" t="str">
        <f>IF(COUNTIF($F130:$F139,AJ$9)=0,"—",COUNTIF($F130:$F139,AJ$9))</f>
        <v>—</v>
      </c>
      <c r="AK130" s="189" t="str">
        <f>IF(COUNTIF($F130:$F139,AK$9)=0,"—",COUNTIF($F130:$F139,AK$9))</f>
        <v>—</v>
      </c>
    </row>
    <row r="131" spans="1:37" ht="15.75" customHeight="1" thickBot="1">
      <c r="A131" s="191">
        <v>131</v>
      </c>
      <c r="B131" s="192"/>
      <c r="C131" s="193"/>
      <c r="D131" s="194"/>
      <c r="E131" s="194"/>
      <c r="F131" s="194">
        <f t="shared" si="1"/>
      </c>
      <c r="G131" s="192">
        <f>IF(G130="","",G130)</f>
      </c>
      <c r="H131" s="192" t="str">
        <f>IF(H130="","",H130)</f>
        <v>Славутський р-н</v>
      </c>
      <c r="I131" s="192">
        <f>IF(I130="","",I130)</f>
      </c>
      <c r="J131" s="378"/>
      <c r="K131" s="376"/>
      <c r="L131" s="7"/>
      <c r="M131" s="195">
        <v>130</v>
      </c>
      <c r="N131" s="196"/>
      <c r="O131" s="197"/>
      <c r="P131" s="197"/>
      <c r="Q131" s="198"/>
      <c r="R131" s="7"/>
      <c r="S131" s="7"/>
      <c r="T131" s="7"/>
      <c r="U131" s="7"/>
      <c r="V131" s="7"/>
      <c r="W131" s="7"/>
      <c r="X131" s="7"/>
      <c r="AE131" s="189"/>
      <c r="AF131" s="199"/>
      <c r="AG131" s="199"/>
      <c r="AH131" s="199"/>
      <c r="AI131" s="199"/>
      <c r="AJ131" s="199"/>
      <c r="AK131" s="199"/>
    </row>
    <row r="132" spans="1:37" ht="15.75" customHeight="1" thickBot="1">
      <c r="A132" s="191">
        <v>132</v>
      </c>
      <c r="B132" s="222"/>
      <c r="C132" s="193"/>
      <c r="D132" s="223"/>
      <c r="E132" s="194"/>
      <c r="F132" s="194">
        <f t="shared" si="1"/>
      </c>
      <c r="G132" s="192">
        <f>IF(G130="","",G130)</f>
      </c>
      <c r="H132" s="192" t="str">
        <f>IF(H130="","",H130)</f>
        <v>Славутський р-н</v>
      </c>
      <c r="I132" s="192">
        <f>IF(I130="","",I130)</f>
      </c>
      <c r="J132" s="378"/>
      <c r="K132" s="376"/>
      <c r="L132" s="7"/>
      <c r="M132" s="7"/>
      <c r="N132" s="200">
        <v>130</v>
      </c>
      <c r="O132" s="201"/>
      <c r="P132" s="202"/>
      <c r="Q132" s="202"/>
      <c r="R132" s="203"/>
      <c r="S132" s="7"/>
      <c r="T132" s="7"/>
      <c r="U132" s="7"/>
      <c r="V132" s="7"/>
      <c r="W132" s="7"/>
      <c r="X132" s="7"/>
      <c r="AE132" s="189"/>
      <c r="AF132" s="199"/>
      <c r="AG132" s="199"/>
      <c r="AH132" s="199"/>
      <c r="AI132" s="199"/>
      <c r="AJ132" s="199"/>
      <c r="AK132" s="199"/>
    </row>
    <row r="133" spans="1:37" ht="15.75" customHeight="1" thickBot="1">
      <c r="A133" s="191">
        <v>133</v>
      </c>
      <c r="B133" s="192"/>
      <c r="C133" s="193"/>
      <c r="D133" s="194"/>
      <c r="E133" s="194"/>
      <c r="F133" s="194">
        <f t="shared" si="1"/>
      </c>
      <c r="G133" s="192">
        <f>IF(G130="","",G130)</f>
      </c>
      <c r="H133" s="192" t="str">
        <f>IF(H130="","",H130)</f>
        <v>Славутський р-н</v>
      </c>
      <c r="I133" s="192">
        <f>IF(I130="","",I130)</f>
      </c>
      <c r="J133" s="378"/>
      <c r="K133" s="376"/>
      <c r="L133" s="7"/>
      <c r="M133" s="7"/>
      <c r="N133" s="204" t="s">
        <v>215</v>
      </c>
      <c r="O133" s="204">
        <v>130</v>
      </c>
      <c r="P133" s="205">
        <v>132</v>
      </c>
      <c r="Q133" s="205">
        <v>137</v>
      </c>
      <c r="R133" s="205">
        <v>134</v>
      </c>
      <c r="S133" s="205">
        <v>133</v>
      </c>
      <c r="T133" s="205">
        <v>135</v>
      </c>
      <c r="U133" s="206">
        <v>136</v>
      </c>
      <c r="V133" s="7"/>
      <c r="W133" s="7"/>
      <c r="X133" s="7"/>
      <c r="AE133" s="189"/>
      <c r="AF133" s="199"/>
      <c r="AG133" s="199"/>
      <c r="AH133" s="199"/>
      <c r="AI133" s="199"/>
      <c r="AJ133" s="199"/>
      <c r="AK133" s="199"/>
    </row>
    <row r="134" spans="1:37" ht="15.75" customHeight="1" thickBot="1">
      <c r="A134" s="191">
        <v>134</v>
      </c>
      <c r="B134" s="192"/>
      <c r="C134" s="193"/>
      <c r="D134" s="194"/>
      <c r="E134" s="194"/>
      <c r="F134" s="194">
        <f t="shared" si="1"/>
      </c>
      <c r="G134" s="192">
        <f>IF(G130="","",G130)</f>
      </c>
      <c r="H134" s="192" t="str">
        <f>IF(H130="","",H130)</f>
        <v>Славутський р-н</v>
      </c>
      <c r="I134" s="192">
        <f>IF(I130="","",I130)</f>
      </c>
      <c r="J134" s="378"/>
      <c r="K134" s="376"/>
      <c r="L134" s="7"/>
      <c r="M134" s="7"/>
      <c r="N134" s="7"/>
      <c r="O134" s="275"/>
      <c r="P134" s="275">
        <v>130</v>
      </c>
      <c r="Q134" s="276"/>
      <c r="R134" s="276"/>
      <c r="S134" s="276"/>
      <c r="T134" s="276"/>
      <c r="U134" s="276"/>
      <c r="V134" s="277"/>
      <c r="W134" s="7"/>
      <c r="X134" s="7"/>
      <c r="AE134" s="189"/>
      <c r="AF134" s="199"/>
      <c r="AG134" s="199"/>
      <c r="AH134" s="199"/>
      <c r="AI134" s="199"/>
      <c r="AJ134" s="199"/>
      <c r="AK134" s="199"/>
    </row>
    <row r="135" spans="1:37" ht="15.75" customHeight="1" thickBot="1">
      <c r="A135" s="191">
        <v>135</v>
      </c>
      <c r="B135" s="222"/>
      <c r="C135" s="193"/>
      <c r="D135" s="194"/>
      <c r="E135" s="194"/>
      <c r="F135" s="194">
        <f t="shared" si="1"/>
      </c>
      <c r="G135" s="192">
        <f>IF(G130="","",G130)</f>
      </c>
      <c r="H135" s="192" t="str">
        <f>IF(H130="","",H130)</f>
        <v>Славутський р-н</v>
      </c>
      <c r="I135" s="192">
        <f>IF(I130="","",I130)</f>
      </c>
      <c r="J135" s="378"/>
      <c r="K135" s="376"/>
      <c r="L135" s="7"/>
      <c r="M135" s="7"/>
      <c r="N135" s="7"/>
      <c r="O135" s="7"/>
      <c r="P135" s="207" t="s">
        <v>106</v>
      </c>
      <c r="Q135" s="207">
        <v>130</v>
      </c>
      <c r="R135" s="208"/>
      <c r="S135" s="208"/>
      <c r="T135" s="208"/>
      <c r="U135" s="208"/>
      <c r="V135" s="209"/>
      <c r="W135" s="208"/>
      <c r="X135" s="7"/>
      <c r="AE135" s="189"/>
      <c r="AF135" s="199"/>
      <c r="AG135" s="199"/>
      <c r="AH135" s="199"/>
      <c r="AI135" s="199"/>
      <c r="AJ135" s="199"/>
      <c r="AK135" s="199"/>
    </row>
    <row r="136" spans="1:37" ht="15.75" customHeight="1">
      <c r="A136" s="191">
        <v>136</v>
      </c>
      <c r="B136" s="222"/>
      <c r="C136" s="193"/>
      <c r="D136" s="194"/>
      <c r="E136" s="194"/>
      <c r="F136" s="194">
        <f t="shared" si="1"/>
      </c>
      <c r="G136" s="192">
        <f>IF(G130="","",G130)</f>
      </c>
      <c r="H136" s="192" t="str">
        <f>IF(H130="","",H130)</f>
        <v>Славутський р-н</v>
      </c>
      <c r="I136" s="192">
        <f>IF(I130="","",I130)</f>
      </c>
      <c r="J136" s="378"/>
      <c r="K136" s="376"/>
      <c r="L136" s="7"/>
      <c r="M136" s="7"/>
      <c r="N136" s="7"/>
      <c r="O136" s="7"/>
      <c r="P136" s="7"/>
      <c r="Q136" s="207" t="s">
        <v>107</v>
      </c>
      <c r="R136" s="207">
        <v>130</v>
      </c>
      <c r="S136" s="208"/>
      <c r="T136" s="208"/>
      <c r="U136" s="208"/>
      <c r="V136" s="208"/>
      <c r="W136" s="209"/>
      <c r="X136" s="208"/>
      <c r="AE136" s="189"/>
      <c r="AF136" s="199"/>
      <c r="AG136" s="199"/>
      <c r="AH136" s="199"/>
      <c r="AI136" s="199"/>
      <c r="AJ136" s="199"/>
      <c r="AK136" s="199"/>
    </row>
    <row r="137" spans="1:37" ht="15.75" customHeight="1">
      <c r="A137" s="191">
        <v>137</v>
      </c>
      <c r="B137" s="222"/>
      <c r="C137" s="193"/>
      <c r="D137" s="194"/>
      <c r="E137" s="194"/>
      <c r="F137" s="194">
        <f t="shared" si="1"/>
      </c>
      <c r="G137" s="192">
        <f>IF(G130="","",G130)</f>
      </c>
      <c r="H137" s="192" t="str">
        <f>IF(H130="","",H130)</f>
        <v>Славутський р-н</v>
      </c>
      <c r="I137" s="192">
        <f>IF(I130="","",I130)</f>
      </c>
      <c r="J137" s="378"/>
      <c r="K137" s="376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AE137" s="189"/>
      <c r="AF137" s="199"/>
      <c r="AG137" s="199"/>
      <c r="AH137" s="199"/>
      <c r="AI137" s="199"/>
      <c r="AJ137" s="199"/>
      <c r="AK137" s="199"/>
    </row>
    <row r="138" spans="1:37" ht="15.75" customHeight="1">
      <c r="A138" s="191">
        <v>138</v>
      </c>
      <c r="B138" s="222"/>
      <c r="C138" s="193"/>
      <c r="D138" s="194"/>
      <c r="E138" s="194"/>
      <c r="F138" s="194">
        <f t="shared" si="1"/>
      </c>
      <c r="G138" s="192">
        <f>IF(G130="","",G130)</f>
      </c>
      <c r="H138" s="192" t="str">
        <f>IF(H130="","",H130)</f>
        <v>Славутський р-н</v>
      </c>
      <c r="I138" s="192">
        <f>IF(I130="","",I130)</f>
      </c>
      <c r="J138" s="378"/>
      <c r="K138" s="376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AE138" s="189"/>
      <c r="AF138" s="199"/>
      <c r="AG138" s="199"/>
      <c r="AH138" s="199"/>
      <c r="AI138" s="199"/>
      <c r="AJ138" s="199"/>
      <c r="AK138" s="199"/>
    </row>
    <row r="139" spans="1:37" ht="15.75" customHeight="1" thickBot="1">
      <c r="A139" s="191">
        <v>139</v>
      </c>
      <c r="B139" s="222"/>
      <c r="C139" s="193"/>
      <c r="D139" s="194"/>
      <c r="E139" s="194"/>
      <c r="F139" s="194">
        <f aca="true" t="shared" si="2" ref="F139:F202">IF(OR(RIGHT($B139,3)="вич",RIGHT($B139,2)="іч"),"ч",IF(RIGHT($B139,3)="вна","ж",IF(ISBLANK($B139),"","?")))</f>
      </c>
      <c r="G139" s="192">
        <f>IF(G130="","",G130)</f>
      </c>
      <c r="H139" s="192" t="str">
        <f>IF(H130="","",H130)</f>
        <v>Славутський р-н</v>
      </c>
      <c r="I139" s="192">
        <f>IF(I130="","",I130)</f>
      </c>
      <c r="J139" s="378"/>
      <c r="K139" s="376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AE139" s="189"/>
      <c r="AF139" s="199"/>
      <c r="AG139" s="199"/>
      <c r="AH139" s="199"/>
      <c r="AI139" s="199"/>
      <c r="AJ139" s="199"/>
      <c r="AK139" s="199"/>
    </row>
    <row r="140" spans="1:37" ht="15.75" customHeight="1" thickBot="1">
      <c r="A140" s="180">
        <v>140</v>
      </c>
      <c r="B140" s="181"/>
      <c r="C140" s="182"/>
      <c r="D140" s="183"/>
      <c r="E140" s="183"/>
      <c r="F140" s="183">
        <f t="shared" si="2"/>
      </c>
      <c r="G140" s="239" t="s">
        <v>306</v>
      </c>
      <c r="H140" s="181" t="s">
        <v>60</v>
      </c>
      <c r="I140" s="181"/>
      <c r="J140" s="375"/>
      <c r="K140" s="376"/>
      <c r="L140" s="184">
        <v>140</v>
      </c>
      <c r="M140" s="185"/>
      <c r="N140" s="186"/>
      <c r="O140" s="186"/>
      <c r="P140" s="187"/>
      <c r="Q140" s="7"/>
      <c r="R140" s="7"/>
      <c r="AE140" s="189" t="str">
        <f>IF(COUNTIF($D140:$D149,AE$9)=0,"—",COUNTIF($D140:$D149,AE$9))</f>
        <v>—</v>
      </c>
      <c r="AF140" s="189" t="str">
        <f>IF(COUNTIF($D140:$D149,AF$9)=0,"—",COUNTIF($D140:$D149,AF$9))</f>
        <v>—</v>
      </c>
      <c r="AG140" s="189" t="str">
        <f>IF(COUNTIF($D140:$D149,AG$9)=0,"—",COUNTIF($D140:$D149,AG$9))</f>
        <v>—</v>
      </c>
      <c r="AH140" s="189" t="str">
        <f>IF(COUNTIF($D140:$D149,AH$9)=0,"—",COUNTIF($D140:$D149,AH$9))</f>
        <v>—</v>
      </c>
      <c r="AI140" s="189" t="str">
        <f>IF(COUNTIF($D140:$D149,AI$9)=0,"—",COUNTIF($D140:$D149,AI$9))</f>
        <v>—</v>
      </c>
      <c r="AJ140" s="189">
        <f>IF(COUNTIF($F140:$F149,AJ$9)=0,"—",COUNTIF($F140:$F149,AJ$9))</f>
        <v>5</v>
      </c>
      <c r="AK140" s="189">
        <f>IF(COUNTIF($F140:$F149,AK$9)=0,"—",COUNTIF($F140:$F149,AK$9))</f>
        <v>1</v>
      </c>
    </row>
    <row r="141" spans="1:37" ht="15.75" customHeight="1" thickBot="1">
      <c r="A141" s="191">
        <v>141</v>
      </c>
      <c r="B141" s="222" t="s">
        <v>311</v>
      </c>
      <c r="C141" s="193">
        <v>30520</v>
      </c>
      <c r="D141" s="223" t="s">
        <v>181</v>
      </c>
      <c r="E141" s="194"/>
      <c r="F141" s="194" t="str">
        <f t="shared" si="2"/>
        <v>ч</v>
      </c>
      <c r="G141" s="192" t="str">
        <f>IF(G140="","",G140)</f>
        <v>Старокостянтин. р-ну</v>
      </c>
      <c r="H141" s="192" t="str">
        <f>IF(H140="","",H140)</f>
        <v>Старокостянтин. р-н</v>
      </c>
      <c r="I141" s="192">
        <f>IF(I140="","",I140)</f>
      </c>
      <c r="J141" s="377" t="s">
        <v>307</v>
      </c>
      <c r="K141" s="376"/>
      <c r="L141" s="7"/>
      <c r="M141" s="195">
        <v>140</v>
      </c>
      <c r="N141" s="196"/>
      <c r="O141" s="197"/>
      <c r="P141" s="197"/>
      <c r="Q141" s="198"/>
      <c r="R141" s="7"/>
      <c r="S141" s="7"/>
      <c r="T141" s="7"/>
      <c r="U141" s="7"/>
      <c r="V141" s="7"/>
      <c r="W141" s="7"/>
      <c r="X141" s="7"/>
      <c r="AE141" s="189"/>
      <c r="AF141" s="199"/>
      <c r="AG141" s="199"/>
      <c r="AH141" s="199"/>
      <c r="AI141" s="199"/>
      <c r="AJ141" s="199"/>
      <c r="AK141" s="199"/>
    </row>
    <row r="142" spans="1:37" ht="15.75" customHeight="1" thickBot="1">
      <c r="A142" s="191">
        <v>142</v>
      </c>
      <c r="B142" s="222" t="s">
        <v>308</v>
      </c>
      <c r="C142" s="193">
        <v>32818</v>
      </c>
      <c r="D142" s="223" t="s">
        <v>181</v>
      </c>
      <c r="E142" s="194"/>
      <c r="F142" s="194" t="str">
        <f t="shared" si="2"/>
        <v>ч</v>
      </c>
      <c r="G142" s="192" t="str">
        <f>IF(G140="","",G140)</f>
        <v>Старокостянтин. р-ну</v>
      </c>
      <c r="H142" s="192" t="str">
        <f>IF(H140="","",H140)</f>
        <v>Старокостянтин. р-н</v>
      </c>
      <c r="I142" s="192">
        <f>IF(I140="","",I140)</f>
      </c>
      <c r="J142" s="378" t="s">
        <v>307</v>
      </c>
      <c r="K142" s="376"/>
      <c r="L142" s="7"/>
      <c r="M142" s="7"/>
      <c r="N142" s="200">
        <v>140</v>
      </c>
      <c r="O142" s="201"/>
      <c r="P142" s="202"/>
      <c r="Q142" s="202"/>
      <c r="R142" s="203"/>
      <c r="S142" s="7"/>
      <c r="T142" s="7"/>
      <c r="U142" s="7"/>
      <c r="V142" s="7"/>
      <c r="W142" s="7"/>
      <c r="X142" s="7"/>
      <c r="AE142" s="189"/>
      <c r="AF142" s="199"/>
      <c r="AG142" s="199"/>
      <c r="AH142" s="199"/>
      <c r="AI142" s="199"/>
      <c r="AJ142" s="199"/>
      <c r="AK142" s="199"/>
    </row>
    <row r="143" spans="1:37" ht="15.75" customHeight="1" thickBot="1">
      <c r="A143" s="191">
        <v>143</v>
      </c>
      <c r="B143" s="222" t="s">
        <v>309</v>
      </c>
      <c r="C143" s="193">
        <v>33228</v>
      </c>
      <c r="D143" s="223" t="s">
        <v>181</v>
      </c>
      <c r="E143" s="194"/>
      <c r="F143" s="194" t="str">
        <f t="shared" si="2"/>
        <v>ч</v>
      </c>
      <c r="G143" s="192" t="str">
        <f>IF(G140="","",G140)</f>
        <v>Старокостянтин. р-ну</v>
      </c>
      <c r="H143" s="192" t="str">
        <f>IF(H140="","",H140)</f>
        <v>Старокостянтин. р-н</v>
      </c>
      <c r="I143" s="192">
        <f>IF(I140="","",I140)</f>
      </c>
      <c r="J143" s="378" t="s">
        <v>307</v>
      </c>
      <c r="K143" s="376"/>
      <c r="L143" s="7"/>
      <c r="M143" s="7"/>
      <c r="N143" s="204" t="s">
        <v>215</v>
      </c>
      <c r="O143" s="204">
        <v>140</v>
      </c>
      <c r="P143" s="205"/>
      <c r="Q143" s="205"/>
      <c r="R143" s="205"/>
      <c r="S143" s="205"/>
      <c r="T143" s="205"/>
      <c r="U143" s="206"/>
      <c r="V143" s="7"/>
      <c r="W143" s="7"/>
      <c r="X143" s="7"/>
      <c r="AE143" s="189"/>
      <c r="AF143" s="199"/>
      <c r="AG143" s="199"/>
      <c r="AH143" s="199"/>
      <c r="AI143" s="199"/>
      <c r="AJ143" s="199"/>
      <c r="AK143" s="199"/>
    </row>
    <row r="144" spans="1:37" ht="15.75" customHeight="1" thickBot="1">
      <c r="A144" s="191">
        <v>144</v>
      </c>
      <c r="B144" s="222" t="s">
        <v>310</v>
      </c>
      <c r="C144" s="193">
        <v>32474</v>
      </c>
      <c r="D144" s="223" t="s">
        <v>181</v>
      </c>
      <c r="E144" s="194"/>
      <c r="F144" s="194" t="str">
        <f t="shared" si="2"/>
        <v>ч</v>
      </c>
      <c r="G144" s="192" t="str">
        <f>IF(G140="","",G140)</f>
        <v>Старокостянтин. р-ну</v>
      </c>
      <c r="H144" s="192" t="str">
        <f>IF(H140="","",H140)</f>
        <v>Старокостянтин. р-н</v>
      </c>
      <c r="I144" s="192">
        <f>IF(I140="","",I140)</f>
      </c>
      <c r="J144" s="378" t="s">
        <v>307</v>
      </c>
      <c r="K144" s="376"/>
      <c r="L144" s="7"/>
      <c r="M144" s="7"/>
      <c r="N144" s="7"/>
      <c r="O144" s="275"/>
      <c r="P144" s="275">
        <v>140</v>
      </c>
      <c r="Q144" s="276"/>
      <c r="R144" s="276"/>
      <c r="S144" s="276"/>
      <c r="T144" s="276"/>
      <c r="U144" s="276"/>
      <c r="V144" s="277"/>
      <c r="W144" s="7"/>
      <c r="X144" s="7"/>
      <c r="AE144" s="189"/>
      <c r="AF144" s="199"/>
      <c r="AG144" s="199"/>
      <c r="AH144" s="199"/>
      <c r="AI144" s="199"/>
      <c r="AJ144" s="199"/>
      <c r="AK144" s="199"/>
    </row>
    <row r="145" spans="1:37" ht="15.75" customHeight="1" thickBot="1">
      <c r="A145" s="191">
        <v>145</v>
      </c>
      <c r="B145" s="222" t="s">
        <v>410</v>
      </c>
      <c r="C145" s="193">
        <v>33624</v>
      </c>
      <c r="D145" s="223" t="s">
        <v>181</v>
      </c>
      <c r="E145" s="194"/>
      <c r="F145" s="194" t="str">
        <f t="shared" si="2"/>
        <v>ж</v>
      </c>
      <c r="G145" s="192" t="str">
        <f>IF(G140="","",G140)</f>
        <v>Старокостянтин. р-ну</v>
      </c>
      <c r="H145" s="192" t="str">
        <f>IF(H140="","",H140)</f>
        <v>Старокостянтин. р-н</v>
      </c>
      <c r="I145" s="192">
        <f>IF(I140="","",I140)</f>
      </c>
      <c r="J145" s="378" t="s">
        <v>307</v>
      </c>
      <c r="K145" s="376"/>
      <c r="L145" s="7"/>
      <c r="M145" s="7"/>
      <c r="N145" s="7"/>
      <c r="O145" s="7"/>
      <c r="P145" s="207" t="s">
        <v>106</v>
      </c>
      <c r="Q145" s="207">
        <v>140</v>
      </c>
      <c r="R145" s="208"/>
      <c r="S145" s="208"/>
      <c r="T145" s="208"/>
      <c r="U145" s="208"/>
      <c r="V145" s="209"/>
      <c r="W145" s="208"/>
      <c r="X145" s="7"/>
      <c r="AE145" s="189"/>
      <c r="AF145" s="199"/>
      <c r="AG145" s="199"/>
      <c r="AH145" s="199"/>
      <c r="AI145" s="199"/>
      <c r="AJ145" s="199"/>
      <c r="AK145" s="199"/>
    </row>
    <row r="146" spans="1:37" ht="15.75" customHeight="1">
      <c r="A146" s="191">
        <v>146</v>
      </c>
      <c r="B146" s="222" t="s">
        <v>411</v>
      </c>
      <c r="C146" s="193">
        <v>32420</v>
      </c>
      <c r="D146" s="223" t="s">
        <v>181</v>
      </c>
      <c r="E146" s="194"/>
      <c r="F146" s="194" t="str">
        <f t="shared" si="2"/>
        <v>ч</v>
      </c>
      <c r="G146" s="192" t="str">
        <f>IF(G140="","",G140)</f>
        <v>Старокостянтин. р-ну</v>
      </c>
      <c r="H146" s="192" t="str">
        <f>IF(H140="","",H140)</f>
        <v>Старокостянтин. р-н</v>
      </c>
      <c r="I146" s="192">
        <f>IF(I140="","",I140)</f>
      </c>
      <c r="J146" s="378" t="s">
        <v>307</v>
      </c>
      <c r="K146" s="376"/>
      <c r="L146" s="7"/>
      <c r="M146" s="7"/>
      <c r="N146" s="7"/>
      <c r="O146" s="7"/>
      <c r="P146" s="7"/>
      <c r="Q146" s="207" t="s">
        <v>107</v>
      </c>
      <c r="R146" s="207">
        <v>140</v>
      </c>
      <c r="S146" s="208"/>
      <c r="T146" s="208"/>
      <c r="U146" s="208"/>
      <c r="V146" s="208"/>
      <c r="W146" s="209"/>
      <c r="X146" s="208"/>
      <c r="AE146" s="189"/>
      <c r="AF146" s="199"/>
      <c r="AG146" s="199"/>
      <c r="AH146" s="199"/>
      <c r="AI146" s="199"/>
      <c r="AJ146" s="199"/>
      <c r="AK146" s="199"/>
    </row>
    <row r="147" spans="1:37" ht="15.75" customHeight="1">
      <c r="A147" s="191">
        <v>147</v>
      </c>
      <c r="B147" s="222"/>
      <c r="C147" s="193"/>
      <c r="D147" s="223"/>
      <c r="E147" s="194"/>
      <c r="F147" s="194">
        <f t="shared" si="2"/>
      </c>
      <c r="G147" s="192" t="str">
        <f>IF(G140="","",G140)</f>
        <v>Старокостянтин. р-ну</v>
      </c>
      <c r="H147" s="192" t="str">
        <f>IF(H140="","",H140)</f>
        <v>Старокостянтин. р-н</v>
      </c>
      <c r="I147" s="192">
        <f>IF(I140="","",I140)</f>
      </c>
      <c r="J147" s="378"/>
      <c r="K147" s="376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AE147" s="189"/>
      <c r="AF147" s="199"/>
      <c r="AG147" s="199"/>
      <c r="AH147" s="199"/>
      <c r="AI147" s="199"/>
      <c r="AJ147" s="199"/>
      <c r="AK147" s="199"/>
    </row>
    <row r="148" spans="1:37" ht="15.75" customHeight="1">
      <c r="A148" s="191">
        <v>148</v>
      </c>
      <c r="B148" s="222"/>
      <c r="C148" s="193"/>
      <c r="D148" s="223"/>
      <c r="E148" s="194"/>
      <c r="F148" s="194">
        <f t="shared" si="2"/>
      </c>
      <c r="G148" s="192" t="str">
        <f>IF(G140="","",G140)</f>
        <v>Старокостянтин. р-ну</v>
      </c>
      <c r="H148" s="192" t="str">
        <f>IF(H140="","",H140)</f>
        <v>Старокостянтин. р-н</v>
      </c>
      <c r="I148" s="192">
        <f>IF(I140="","",I140)</f>
      </c>
      <c r="J148" s="378"/>
      <c r="K148" s="376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AE148" s="189"/>
      <c r="AF148" s="199"/>
      <c r="AG148" s="199"/>
      <c r="AH148" s="199"/>
      <c r="AI148" s="199"/>
      <c r="AJ148" s="199"/>
      <c r="AK148" s="199"/>
    </row>
    <row r="149" spans="1:37" ht="15.75" customHeight="1" thickBot="1">
      <c r="A149" s="191">
        <v>149</v>
      </c>
      <c r="B149" s="192"/>
      <c r="C149" s="193"/>
      <c r="D149" s="194"/>
      <c r="E149" s="194"/>
      <c r="F149" s="194">
        <f t="shared" si="2"/>
      </c>
      <c r="G149" s="192" t="str">
        <f>IF(G140="","",G140)</f>
        <v>Старокостянтин. р-ну</v>
      </c>
      <c r="H149" s="192" t="str">
        <f>IF(H140="","",H140)</f>
        <v>Старокостянтин. р-н</v>
      </c>
      <c r="I149" s="192">
        <f>IF(I140="","",I140)</f>
      </c>
      <c r="J149" s="378"/>
      <c r="K149" s="376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AE149" s="189"/>
      <c r="AF149" s="199"/>
      <c r="AG149" s="199"/>
      <c r="AH149" s="199"/>
      <c r="AI149" s="199"/>
      <c r="AJ149" s="199"/>
      <c r="AK149" s="199"/>
    </row>
    <row r="150" spans="1:37" ht="15.75" customHeight="1" thickBot="1">
      <c r="A150" s="180">
        <v>150</v>
      </c>
      <c r="B150" s="181"/>
      <c r="C150" s="182"/>
      <c r="D150" s="183"/>
      <c r="E150" s="183"/>
      <c r="F150" s="183">
        <f t="shared" si="2"/>
      </c>
      <c r="G150" s="239"/>
      <c r="H150" s="181" t="s">
        <v>61</v>
      </c>
      <c r="I150" s="181"/>
      <c r="J150" s="375"/>
      <c r="K150" s="376"/>
      <c r="L150" s="184">
        <v>150</v>
      </c>
      <c r="M150" s="185"/>
      <c r="N150" s="186"/>
      <c r="O150" s="186"/>
      <c r="P150" s="187"/>
      <c r="Q150" s="7"/>
      <c r="R150" s="7"/>
      <c r="AE150" s="189" t="str">
        <f>IF(COUNTIF($D150:$D159,AE$9)=0,"—",COUNTIF($D150:$D159,AE$9))</f>
        <v>—</v>
      </c>
      <c r="AF150" s="189" t="str">
        <f>IF(COUNTIF($D150:$D159,AF$9)=0,"—",COUNTIF($D150:$D159,AF$9))</f>
        <v>—</v>
      </c>
      <c r="AG150" s="189" t="str">
        <f>IF(COUNTIF($D150:$D159,AG$9)=0,"—",COUNTIF($D150:$D159,AG$9))</f>
        <v>—</v>
      </c>
      <c r="AH150" s="189" t="str">
        <f>IF(COUNTIF($D150:$D159,AH$9)=0,"—",COUNTIF($D150:$D159,AH$9))</f>
        <v>—</v>
      </c>
      <c r="AI150" s="189" t="str">
        <f>IF(COUNTIF($D150:$D159,AI$9)=0,"—",COUNTIF($D150:$D159,AI$9))</f>
        <v>—</v>
      </c>
      <c r="AJ150" s="189" t="str">
        <f>IF(COUNTIF($F150:$F159,AJ$9)=0,"—",COUNTIF($F150:$F159,AJ$9))</f>
        <v>—</v>
      </c>
      <c r="AK150" s="189" t="str">
        <f>IF(COUNTIF($F150:$F159,AK$9)=0,"—",COUNTIF($F150:$F159,AK$9))</f>
        <v>—</v>
      </c>
    </row>
    <row r="151" spans="1:37" ht="15.75" customHeight="1" thickBot="1">
      <c r="A151" s="191">
        <v>151</v>
      </c>
      <c r="B151" s="222"/>
      <c r="C151" s="193"/>
      <c r="D151" s="223"/>
      <c r="E151" s="194"/>
      <c r="F151" s="194">
        <f t="shared" si="2"/>
      </c>
      <c r="G151" s="192">
        <f>IF(G150="","",G150)</f>
      </c>
      <c r="H151" s="192" t="str">
        <f>IF(H150="","",H150)</f>
        <v>Старосинявський р-н</v>
      </c>
      <c r="I151" s="192">
        <f>IF(I150="","",I150)</f>
      </c>
      <c r="J151" s="377"/>
      <c r="K151" s="376"/>
      <c r="L151" s="7"/>
      <c r="M151" s="195">
        <v>150</v>
      </c>
      <c r="N151" s="196"/>
      <c r="O151" s="197"/>
      <c r="P151" s="197"/>
      <c r="Q151" s="198"/>
      <c r="R151" s="7"/>
      <c r="S151" s="7"/>
      <c r="T151" s="7"/>
      <c r="U151" s="7"/>
      <c r="V151" s="7"/>
      <c r="W151" s="7"/>
      <c r="X151" s="7"/>
      <c r="AE151" s="189"/>
      <c r="AF151" s="199"/>
      <c r="AG151" s="199"/>
      <c r="AH151" s="199"/>
      <c r="AI151" s="199"/>
      <c r="AJ151" s="199"/>
      <c r="AK151" s="199"/>
    </row>
    <row r="152" spans="1:37" ht="15.75" customHeight="1" thickBot="1">
      <c r="A152" s="191">
        <v>152</v>
      </c>
      <c r="B152" s="222"/>
      <c r="C152" s="193"/>
      <c r="D152" s="223"/>
      <c r="E152" s="194"/>
      <c r="F152" s="194">
        <f t="shared" si="2"/>
      </c>
      <c r="G152" s="192">
        <f>IF(G150="","",G150)</f>
      </c>
      <c r="H152" s="192" t="str">
        <f>IF(H150="","",H150)</f>
        <v>Старосинявський р-н</v>
      </c>
      <c r="I152" s="192">
        <f>IF(I150="","",I150)</f>
      </c>
      <c r="J152" s="377"/>
      <c r="K152" s="376"/>
      <c r="L152" s="7"/>
      <c r="M152" s="7"/>
      <c r="N152" s="200">
        <v>150</v>
      </c>
      <c r="O152" s="201"/>
      <c r="P152" s="202"/>
      <c r="Q152" s="202"/>
      <c r="R152" s="203"/>
      <c r="S152" s="7"/>
      <c r="T152" s="7"/>
      <c r="U152" s="7"/>
      <c r="V152" s="7"/>
      <c r="W152" s="7"/>
      <c r="X152" s="7"/>
      <c r="AE152" s="189"/>
      <c r="AF152" s="199"/>
      <c r="AG152" s="199"/>
      <c r="AH152" s="199"/>
      <c r="AI152" s="199"/>
      <c r="AJ152" s="199"/>
      <c r="AK152" s="199"/>
    </row>
    <row r="153" spans="1:37" ht="15.75" customHeight="1" thickBot="1">
      <c r="A153" s="191">
        <v>153</v>
      </c>
      <c r="B153" s="222"/>
      <c r="C153" s="193"/>
      <c r="D153" s="223"/>
      <c r="E153" s="194"/>
      <c r="F153" s="194">
        <f t="shared" si="2"/>
      </c>
      <c r="G153" s="192">
        <f>IF(G150="","",G150)</f>
      </c>
      <c r="H153" s="192" t="str">
        <f>IF(H150="","",H150)</f>
        <v>Старосинявський р-н</v>
      </c>
      <c r="I153" s="192">
        <f>IF(I150="","",I150)</f>
      </c>
      <c r="J153" s="377"/>
      <c r="K153" s="376"/>
      <c r="L153" s="7"/>
      <c r="M153" s="7"/>
      <c r="N153" s="204" t="s">
        <v>215</v>
      </c>
      <c r="O153" s="204">
        <v>150</v>
      </c>
      <c r="P153" s="205"/>
      <c r="Q153" s="205"/>
      <c r="R153" s="205"/>
      <c r="S153" s="205"/>
      <c r="T153" s="205"/>
      <c r="U153" s="206"/>
      <c r="V153" s="7"/>
      <c r="W153" s="7"/>
      <c r="X153" s="7"/>
      <c r="AE153" s="189"/>
      <c r="AF153" s="199"/>
      <c r="AG153" s="199"/>
      <c r="AH153" s="199"/>
      <c r="AI153" s="199"/>
      <c r="AJ153" s="199"/>
      <c r="AK153" s="199"/>
    </row>
    <row r="154" spans="1:37" ht="15.75" customHeight="1" thickBot="1">
      <c r="A154" s="191">
        <v>154</v>
      </c>
      <c r="B154" s="222"/>
      <c r="C154" s="193"/>
      <c r="D154" s="223"/>
      <c r="E154" s="194"/>
      <c r="F154" s="194">
        <f t="shared" si="2"/>
      </c>
      <c r="G154" s="192">
        <f>IF(G150="","",G150)</f>
      </c>
      <c r="H154" s="192" t="str">
        <f>IF(H150="","",H150)</f>
        <v>Старосинявський р-н</v>
      </c>
      <c r="I154" s="192">
        <f>IF(I150="","",I150)</f>
      </c>
      <c r="J154" s="377"/>
      <c r="K154" s="376"/>
      <c r="L154" s="7"/>
      <c r="M154" s="7"/>
      <c r="N154" s="7"/>
      <c r="O154" s="275"/>
      <c r="P154" s="275">
        <v>150</v>
      </c>
      <c r="Q154" s="276"/>
      <c r="R154" s="276"/>
      <c r="S154" s="276"/>
      <c r="T154" s="276"/>
      <c r="U154" s="276"/>
      <c r="V154" s="277"/>
      <c r="W154" s="7"/>
      <c r="X154" s="7"/>
      <c r="AE154" s="189"/>
      <c r="AF154" s="199"/>
      <c r="AG154" s="199"/>
      <c r="AH154" s="199"/>
      <c r="AI154" s="199"/>
      <c r="AJ154" s="199"/>
      <c r="AK154" s="199"/>
    </row>
    <row r="155" spans="1:37" ht="15.75" customHeight="1" thickBot="1">
      <c r="A155" s="191">
        <v>155</v>
      </c>
      <c r="B155" s="222"/>
      <c r="C155" s="193"/>
      <c r="D155" s="223"/>
      <c r="E155" s="194"/>
      <c r="F155" s="194">
        <f t="shared" si="2"/>
      </c>
      <c r="G155" s="192">
        <f>IF(G150="","",G150)</f>
      </c>
      <c r="H155" s="192" t="str">
        <f>IF(H150="","",H150)</f>
        <v>Старосинявський р-н</v>
      </c>
      <c r="I155" s="192">
        <f>IF(I150="","",I150)</f>
      </c>
      <c r="J155" s="377"/>
      <c r="K155" s="376"/>
      <c r="L155" s="7"/>
      <c r="M155" s="7"/>
      <c r="N155" s="7"/>
      <c r="O155" s="7"/>
      <c r="P155" s="207" t="s">
        <v>106</v>
      </c>
      <c r="Q155" s="207">
        <v>150</v>
      </c>
      <c r="R155" s="208"/>
      <c r="S155" s="208"/>
      <c r="T155" s="208"/>
      <c r="U155" s="208"/>
      <c r="V155" s="209"/>
      <c r="W155" s="208"/>
      <c r="X155" s="7"/>
      <c r="AE155" s="189"/>
      <c r="AF155" s="199"/>
      <c r="AG155" s="199"/>
      <c r="AH155" s="199"/>
      <c r="AI155" s="199"/>
      <c r="AJ155" s="199"/>
      <c r="AK155" s="199"/>
    </row>
    <row r="156" spans="1:37" ht="15.75" customHeight="1">
      <c r="A156" s="191">
        <v>156</v>
      </c>
      <c r="B156" s="222"/>
      <c r="C156" s="193"/>
      <c r="D156" s="223"/>
      <c r="E156" s="194"/>
      <c r="F156" s="194">
        <f t="shared" si="2"/>
      </c>
      <c r="G156" s="192">
        <f>IF(G150="","",G150)</f>
      </c>
      <c r="H156" s="192" t="str">
        <f>IF(H150="","",H150)</f>
        <v>Старосинявський р-н</v>
      </c>
      <c r="I156" s="192">
        <f>IF(I150="","",I150)</f>
      </c>
      <c r="J156" s="377"/>
      <c r="K156" s="376"/>
      <c r="L156" s="7"/>
      <c r="M156" s="7"/>
      <c r="N156" s="7"/>
      <c r="O156" s="7"/>
      <c r="P156" s="7"/>
      <c r="Q156" s="207" t="s">
        <v>107</v>
      </c>
      <c r="R156" s="207">
        <v>150</v>
      </c>
      <c r="S156" s="208"/>
      <c r="T156" s="208"/>
      <c r="U156" s="208"/>
      <c r="V156" s="208"/>
      <c r="W156" s="209"/>
      <c r="X156" s="208"/>
      <c r="AE156" s="189"/>
      <c r="AF156" s="199"/>
      <c r="AG156" s="199"/>
      <c r="AH156" s="199"/>
      <c r="AI156" s="199"/>
      <c r="AJ156" s="199"/>
      <c r="AK156" s="199"/>
    </row>
    <row r="157" spans="1:37" ht="15.75" customHeight="1">
      <c r="A157" s="191">
        <v>157</v>
      </c>
      <c r="B157" s="222"/>
      <c r="C157" s="193"/>
      <c r="D157" s="223"/>
      <c r="E157" s="194"/>
      <c r="F157" s="194">
        <f t="shared" si="2"/>
      </c>
      <c r="G157" s="192">
        <f>IF(G150="","",G150)</f>
      </c>
      <c r="H157" s="192" t="str">
        <f>IF(H150="","",H150)</f>
        <v>Старосинявський р-н</v>
      </c>
      <c r="I157" s="192">
        <f>IF(I150="","",I150)</f>
      </c>
      <c r="J157" s="377"/>
      <c r="K157" s="37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AE157" s="189"/>
      <c r="AF157" s="199"/>
      <c r="AG157" s="199"/>
      <c r="AH157" s="199"/>
      <c r="AI157" s="199"/>
      <c r="AJ157" s="199"/>
      <c r="AK157" s="199"/>
    </row>
    <row r="158" spans="1:37" ht="15.75" customHeight="1">
      <c r="A158" s="191">
        <v>158</v>
      </c>
      <c r="B158" s="222"/>
      <c r="C158" s="193"/>
      <c r="D158" s="223"/>
      <c r="E158" s="194"/>
      <c r="F158" s="194">
        <f t="shared" si="2"/>
      </c>
      <c r="G158" s="192">
        <f>IF(G150="","",G150)</f>
      </c>
      <c r="H158" s="192" t="str">
        <f>IF(H150="","",H150)</f>
        <v>Старосинявський р-н</v>
      </c>
      <c r="I158" s="192">
        <f>IF(I150="","",I150)</f>
      </c>
      <c r="J158" s="377"/>
      <c r="K158" s="37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AE158" s="189"/>
      <c r="AF158" s="199"/>
      <c r="AG158" s="199"/>
      <c r="AH158" s="199"/>
      <c r="AI158" s="199"/>
      <c r="AJ158" s="199"/>
      <c r="AK158" s="199"/>
    </row>
    <row r="159" spans="1:37" ht="15.75" customHeight="1" thickBot="1">
      <c r="A159" s="191">
        <v>159</v>
      </c>
      <c r="B159" s="192"/>
      <c r="C159" s="193"/>
      <c r="D159" s="194"/>
      <c r="E159" s="194"/>
      <c r="F159" s="194">
        <f t="shared" si="2"/>
      </c>
      <c r="G159" s="192">
        <f>IF(G150="","",G150)</f>
      </c>
      <c r="H159" s="192" t="str">
        <f>IF(H150="","",H150)</f>
        <v>Старосинявський р-н</v>
      </c>
      <c r="I159" s="192">
        <f>IF(I150="","",I150)</f>
      </c>
      <c r="J159" s="378"/>
      <c r="K159" s="37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AE159" s="189"/>
      <c r="AF159" s="199"/>
      <c r="AG159" s="199"/>
      <c r="AH159" s="199"/>
      <c r="AI159" s="199"/>
      <c r="AJ159" s="199"/>
      <c r="AK159" s="199"/>
    </row>
    <row r="160" spans="1:37" ht="15.75" customHeight="1" thickBot="1">
      <c r="A160" s="180">
        <v>160</v>
      </c>
      <c r="B160" s="181"/>
      <c r="C160" s="182"/>
      <c r="D160" s="183"/>
      <c r="E160" s="183"/>
      <c r="F160" s="183">
        <f t="shared" si="2"/>
      </c>
      <c r="G160" s="181"/>
      <c r="H160" s="181" t="s">
        <v>53</v>
      </c>
      <c r="I160" s="181"/>
      <c r="J160" s="375"/>
      <c r="K160" s="376"/>
      <c r="L160" s="184">
        <v>160</v>
      </c>
      <c r="M160" s="185"/>
      <c r="N160" s="186"/>
      <c r="O160" s="186"/>
      <c r="P160" s="187"/>
      <c r="Q160" s="7"/>
      <c r="R160" s="7"/>
      <c r="AE160" s="189" t="str">
        <f>IF(COUNTIF($D160:$D169,AE$9)=0,"—",COUNTIF($D160:$D169,AE$9))</f>
        <v>—</v>
      </c>
      <c r="AF160" s="189" t="str">
        <f>IF(COUNTIF($D160:$D169,AF$9)=0,"—",COUNTIF($D160:$D169,AF$9))</f>
        <v>—</v>
      </c>
      <c r="AG160" s="189" t="str">
        <f>IF(COUNTIF($D160:$D169,AG$9)=0,"—",COUNTIF($D160:$D169,AG$9))</f>
        <v>—</v>
      </c>
      <c r="AH160" s="189" t="str">
        <f>IF(COUNTIF($D160:$D169,AH$9)=0,"—",COUNTIF($D160:$D169,AH$9))</f>
        <v>—</v>
      </c>
      <c r="AI160" s="189" t="str">
        <f>IF(COUNTIF($D160:$D169,AI$9)=0,"—",COUNTIF($D160:$D169,AI$9))</f>
        <v>—</v>
      </c>
      <c r="AJ160" s="189" t="str">
        <f>IF(COUNTIF($F160:$F169,AJ$9)=0,"—",COUNTIF($F160:$F169,AJ$9))</f>
        <v>—</v>
      </c>
      <c r="AK160" s="189" t="str">
        <f>IF(COUNTIF($F160:$F169,AK$9)=0,"—",COUNTIF($F160:$F169,AK$9))</f>
        <v>—</v>
      </c>
    </row>
    <row r="161" spans="1:37" ht="15.75" customHeight="1" thickBot="1">
      <c r="A161" s="191">
        <v>161</v>
      </c>
      <c r="B161" s="192"/>
      <c r="C161" s="193"/>
      <c r="D161" s="194"/>
      <c r="E161" s="194"/>
      <c r="F161" s="194">
        <f t="shared" si="2"/>
      </c>
      <c r="G161" s="192">
        <f>IF(G160="","",G160)</f>
      </c>
      <c r="H161" s="192" t="str">
        <f>IF(H160="","",H160)</f>
        <v>Теофіпільський р-н</v>
      </c>
      <c r="I161" s="192">
        <f>IF(I160="","",I160)</f>
      </c>
      <c r="J161" s="378"/>
      <c r="K161" s="376"/>
      <c r="L161" s="7"/>
      <c r="M161" s="195">
        <v>160</v>
      </c>
      <c r="N161" s="196"/>
      <c r="O161" s="197"/>
      <c r="P161" s="197"/>
      <c r="Q161" s="198"/>
      <c r="R161" s="7"/>
      <c r="S161" s="7"/>
      <c r="T161" s="7"/>
      <c r="U161" s="7"/>
      <c r="V161" s="7"/>
      <c r="W161" s="7"/>
      <c r="X161" s="7"/>
      <c r="AE161" s="189"/>
      <c r="AF161" s="199"/>
      <c r="AG161" s="199"/>
      <c r="AH161" s="199"/>
      <c r="AI161" s="199"/>
      <c r="AJ161" s="199"/>
      <c r="AK161" s="199"/>
    </row>
    <row r="162" spans="1:37" ht="15.75" customHeight="1" thickBot="1">
      <c r="A162" s="191">
        <v>162</v>
      </c>
      <c r="B162" s="192"/>
      <c r="C162" s="193"/>
      <c r="D162" s="194"/>
      <c r="E162" s="194"/>
      <c r="F162" s="194">
        <f t="shared" si="2"/>
      </c>
      <c r="G162" s="192">
        <f>IF(G160="","",G160)</f>
      </c>
      <c r="H162" s="192" t="str">
        <f>IF(H160="","",H160)</f>
        <v>Теофіпільський р-н</v>
      </c>
      <c r="I162" s="192">
        <f>IF(I160="","",I160)</f>
      </c>
      <c r="J162" s="378"/>
      <c r="K162" s="376"/>
      <c r="L162" s="7"/>
      <c r="M162" s="7"/>
      <c r="N162" s="200">
        <v>160</v>
      </c>
      <c r="O162" s="201"/>
      <c r="P162" s="202"/>
      <c r="Q162" s="202"/>
      <c r="R162" s="203"/>
      <c r="S162" s="7"/>
      <c r="T162" s="7"/>
      <c r="U162" s="7"/>
      <c r="V162" s="7"/>
      <c r="W162" s="7"/>
      <c r="X162" s="7"/>
      <c r="AE162" s="189"/>
      <c r="AF162" s="199"/>
      <c r="AG162" s="199"/>
      <c r="AH162" s="199"/>
      <c r="AI162" s="199"/>
      <c r="AJ162" s="199"/>
      <c r="AK162" s="199"/>
    </row>
    <row r="163" spans="1:37" ht="15.75" customHeight="1" thickBot="1">
      <c r="A163" s="191">
        <v>163</v>
      </c>
      <c r="B163" s="192"/>
      <c r="C163" s="193"/>
      <c r="D163" s="194"/>
      <c r="E163" s="194"/>
      <c r="F163" s="194">
        <f t="shared" si="2"/>
      </c>
      <c r="G163" s="192">
        <f>IF(G160="","",G160)</f>
      </c>
      <c r="H163" s="192" t="str">
        <f>IF(H160="","",H160)</f>
        <v>Теофіпільський р-н</v>
      </c>
      <c r="I163" s="192">
        <f>IF(I160="","",I160)</f>
      </c>
      <c r="J163" s="378"/>
      <c r="K163" s="376"/>
      <c r="L163" s="7"/>
      <c r="M163" s="7"/>
      <c r="N163" s="204" t="s">
        <v>215</v>
      </c>
      <c r="O163" s="204">
        <v>160</v>
      </c>
      <c r="P163" s="205">
        <v>164</v>
      </c>
      <c r="Q163" s="205">
        <v>162</v>
      </c>
      <c r="R163" s="205">
        <v>163</v>
      </c>
      <c r="S163" s="205">
        <v>166</v>
      </c>
      <c r="T163" s="205"/>
      <c r="U163" s="206"/>
      <c r="V163" s="7"/>
      <c r="W163" s="7"/>
      <c r="X163" s="7"/>
      <c r="AE163" s="189"/>
      <c r="AF163" s="199"/>
      <c r="AG163" s="199"/>
      <c r="AH163" s="199"/>
      <c r="AI163" s="199"/>
      <c r="AJ163" s="199"/>
      <c r="AK163" s="199"/>
    </row>
    <row r="164" spans="1:37" ht="15.75" customHeight="1" thickBot="1">
      <c r="A164" s="191">
        <v>164</v>
      </c>
      <c r="B164" s="192"/>
      <c r="C164" s="193"/>
      <c r="D164" s="194"/>
      <c r="E164" s="194"/>
      <c r="F164" s="194">
        <f t="shared" si="2"/>
      </c>
      <c r="G164" s="192">
        <f>IF(G160="","",G160)</f>
      </c>
      <c r="H164" s="192" t="str">
        <f>IF(H160="","",H160)</f>
        <v>Теофіпільський р-н</v>
      </c>
      <c r="I164" s="192">
        <f>IF(I160="","",I160)</f>
      </c>
      <c r="J164" s="378"/>
      <c r="K164" s="376"/>
      <c r="L164" s="7"/>
      <c r="M164" s="7"/>
      <c r="N164" s="7"/>
      <c r="O164" s="275"/>
      <c r="P164" s="275">
        <v>160</v>
      </c>
      <c r="Q164" s="276"/>
      <c r="R164" s="276"/>
      <c r="S164" s="276"/>
      <c r="T164" s="276"/>
      <c r="U164" s="276"/>
      <c r="V164" s="277"/>
      <c r="W164" s="7"/>
      <c r="X164" s="7"/>
      <c r="AE164" s="189"/>
      <c r="AF164" s="199"/>
      <c r="AG164" s="199"/>
      <c r="AH164" s="199"/>
      <c r="AI164" s="199"/>
      <c r="AJ164" s="199"/>
      <c r="AK164" s="199"/>
    </row>
    <row r="165" spans="1:37" ht="15.75" customHeight="1" thickBot="1">
      <c r="A165" s="191">
        <v>165</v>
      </c>
      <c r="B165" s="192"/>
      <c r="C165" s="193"/>
      <c r="D165" s="194"/>
      <c r="E165" s="194"/>
      <c r="F165" s="194">
        <f t="shared" si="2"/>
      </c>
      <c r="G165" s="192">
        <f>IF(G160="","",G160)</f>
      </c>
      <c r="H165" s="192" t="str">
        <f>IF(H160="","",H160)</f>
        <v>Теофіпільський р-н</v>
      </c>
      <c r="I165" s="192">
        <f>IF(I160="","",I160)</f>
      </c>
      <c r="J165" s="378"/>
      <c r="K165" s="376"/>
      <c r="L165" s="7"/>
      <c r="M165" s="7"/>
      <c r="N165" s="7"/>
      <c r="O165" s="7"/>
      <c r="P165" s="207" t="s">
        <v>106</v>
      </c>
      <c r="Q165" s="207">
        <v>160</v>
      </c>
      <c r="R165" s="208"/>
      <c r="S165" s="208"/>
      <c r="T165" s="208"/>
      <c r="U165" s="208"/>
      <c r="V165" s="209"/>
      <c r="W165" s="208"/>
      <c r="X165" s="7"/>
      <c r="AE165" s="189"/>
      <c r="AF165" s="199"/>
      <c r="AG165" s="199"/>
      <c r="AH165" s="199"/>
      <c r="AI165" s="199"/>
      <c r="AJ165" s="199"/>
      <c r="AK165" s="199"/>
    </row>
    <row r="166" spans="1:37" ht="15.75" customHeight="1">
      <c r="A166" s="191">
        <v>166</v>
      </c>
      <c r="B166" s="192"/>
      <c r="C166" s="193"/>
      <c r="D166" s="194"/>
      <c r="E166" s="194"/>
      <c r="F166" s="194">
        <f t="shared" si="2"/>
      </c>
      <c r="G166" s="192">
        <f>IF(G160="","",G160)</f>
      </c>
      <c r="H166" s="192" t="str">
        <f>IF(H160="","",H160)</f>
        <v>Теофіпільський р-н</v>
      </c>
      <c r="I166" s="192">
        <f>IF(I160="","",I160)</f>
      </c>
      <c r="J166" s="378"/>
      <c r="K166" s="376"/>
      <c r="L166" s="7"/>
      <c r="M166" s="7"/>
      <c r="N166" s="7"/>
      <c r="O166" s="7"/>
      <c r="P166" s="7"/>
      <c r="Q166" s="207" t="s">
        <v>107</v>
      </c>
      <c r="R166" s="207">
        <v>160</v>
      </c>
      <c r="S166" s="208"/>
      <c r="T166" s="208"/>
      <c r="U166" s="208"/>
      <c r="V166" s="208"/>
      <c r="W166" s="209"/>
      <c r="X166" s="208"/>
      <c r="AE166" s="189"/>
      <c r="AF166" s="199"/>
      <c r="AG166" s="199"/>
      <c r="AH166" s="199"/>
      <c r="AI166" s="199"/>
      <c r="AJ166" s="199"/>
      <c r="AK166" s="199"/>
    </row>
    <row r="167" spans="1:37" ht="15.75" customHeight="1">
      <c r="A167" s="191">
        <v>167</v>
      </c>
      <c r="B167" s="192"/>
      <c r="C167" s="193"/>
      <c r="D167" s="194"/>
      <c r="E167" s="194"/>
      <c r="F167" s="194">
        <f t="shared" si="2"/>
      </c>
      <c r="G167" s="192">
        <f>IF(G160="","",G160)</f>
      </c>
      <c r="H167" s="192" t="str">
        <f>IF(H160="","",H160)</f>
        <v>Теофіпільський р-н</v>
      </c>
      <c r="I167" s="192">
        <f>IF(I160="","",I160)</f>
      </c>
      <c r="J167" s="378"/>
      <c r="K167" s="376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AE167" s="189"/>
      <c r="AF167" s="199"/>
      <c r="AG167" s="199"/>
      <c r="AH167" s="199"/>
      <c r="AI167" s="199"/>
      <c r="AJ167" s="199"/>
      <c r="AK167" s="199"/>
    </row>
    <row r="168" spans="1:37" ht="15.75" customHeight="1">
      <c r="A168" s="191">
        <v>168</v>
      </c>
      <c r="B168" s="192"/>
      <c r="C168" s="193"/>
      <c r="D168" s="194"/>
      <c r="E168" s="194"/>
      <c r="F168" s="194">
        <f t="shared" si="2"/>
      </c>
      <c r="G168" s="192">
        <f>IF(G160="","",G160)</f>
      </c>
      <c r="H168" s="192" t="str">
        <f>IF(H160="","",H160)</f>
        <v>Теофіпільський р-н</v>
      </c>
      <c r="I168" s="192">
        <f>IF(I160="","",I160)</f>
      </c>
      <c r="J168" s="378"/>
      <c r="K168" s="376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AE168" s="189"/>
      <c r="AF168" s="199"/>
      <c r="AG168" s="199"/>
      <c r="AH168" s="199"/>
      <c r="AI168" s="199"/>
      <c r="AJ168" s="199"/>
      <c r="AK168" s="199"/>
    </row>
    <row r="169" spans="1:37" ht="15.75" customHeight="1" thickBot="1">
      <c r="A169" s="191">
        <v>169</v>
      </c>
      <c r="B169" s="192"/>
      <c r="C169" s="193"/>
      <c r="D169" s="194"/>
      <c r="E169" s="194"/>
      <c r="F169" s="194">
        <f t="shared" si="2"/>
      </c>
      <c r="G169" s="192">
        <f>IF(G160="","",G160)</f>
      </c>
      <c r="H169" s="192" t="str">
        <f>IF(H160="","",H160)</f>
        <v>Теофіпільський р-н</v>
      </c>
      <c r="I169" s="192">
        <f>IF(I160="","",I160)</f>
      </c>
      <c r="J169" s="378"/>
      <c r="K169" s="376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AE169" s="189"/>
      <c r="AF169" s="199"/>
      <c r="AG169" s="199"/>
      <c r="AH169" s="199"/>
      <c r="AI169" s="199"/>
      <c r="AJ169" s="199"/>
      <c r="AK169" s="199"/>
    </row>
    <row r="170" spans="1:37" ht="15.75" customHeight="1" thickBot="1">
      <c r="A170" s="180">
        <v>170</v>
      </c>
      <c r="B170" s="181"/>
      <c r="C170" s="182"/>
      <c r="D170" s="183"/>
      <c r="E170" s="183"/>
      <c r="F170" s="183">
        <f t="shared" si="2"/>
      </c>
      <c r="G170" s="239" t="s">
        <v>247</v>
      </c>
      <c r="H170" s="181" t="s">
        <v>62</v>
      </c>
      <c r="I170" s="181"/>
      <c r="J170" s="375"/>
      <c r="K170" s="376"/>
      <c r="L170" s="184">
        <v>170</v>
      </c>
      <c r="M170" s="185"/>
      <c r="N170" s="186"/>
      <c r="O170" s="186"/>
      <c r="P170" s="187"/>
      <c r="Q170" s="7"/>
      <c r="R170" s="7"/>
      <c r="AE170" s="189" t="str">
        <f>IF(COUNTIF($D170:$D179,AE$9)=0,"—",COUNTIF($D170:$D179,AE$9))</f>
        <v>—</v>
      </c>
      <c r="AF170" s="189">
        <f>IF(COUNTIF($D170:$D179,AF$9)=0,"—",COUNTIF($D170:$D179,AF$9))</f>
        <v>3</v>
      </c>
      <c r="AG170" s="189">
        <f>IF(COUNTIF($D170:$D179,AG$9)=0,"—",COUNTIF($D170:$D179,AG$9))</f>
        <v>1</v>
      </c>
      <c r="AH170" s="189">
        <f>IF(COUNTIF($D170:$D179,AH$9)=0,"—",COUNTIF($D170:$D179,AH$9))</f>
        <v>2</v>
      </c>
      <c r="AI170" s="189" t="str">
        <f>IF(COUNTIF($D170:$D179,AI$9)=0,"—",COUNTIF($D170:$D179,AI$9))</f>
        <v>—</v>
      </c>
      <c r="AJ170" s="189">
        <f>IF(COUNTIF($F170:$F179,AJ$9)=0,"—",COUNTIF($F170:$F179,AJ$9))</f>
        <v>4</v>
      </c>
      <c r="AK170" s="189">
        <f>IF(COUNTIF($F170:$F179,AK$9)=0,"—",COUNTIF($F170:$F179,AK$9))</f>
        <v>4</v>
      </c>
    </row>
    <row r="171" spans="1:37" ht="15.75" customHeight="1" thickBot="1">
      <c r="A171" s="191">
        <v>171</v>
      </c>
      <c r="B171" s="222" t="s">
        <v>373</v>
      </c>
      <c r="C171" s="193">
        <v>32118</v>
      </c>
      <c r="D171" s="223" t="s">
        <v>37</v>
      </c>
      <c r="E171" s="194"/>
      <c r="F171" s="194" t="str">
        <f t="shared" si="2"/>
        <v>ч</v>
      </c>
      <c r="G171" s="192" t="str">
        <f>IF(G170="","",G170)</f>
        <v>Хмельницького р-ну</v>
      </c>
      <c r="H171" s="192" t="str">
        <f>IF(H170="","",H170)</f>
        <v>Хмельницький р-н</v>
      </c>
      <c r="I171" s="192">
        <f>IF(I170="","",I170)</f>
      </c>
      <c r="J171" s="377" t="s">
        <v>372</v>
      </c>
      <c r="K171" s="376"/>
      <c r="L171" s="7"/>
      <c r="M171" s="195">
        <v>170</v>
      </c>
      <c r="N171" s="196"/>
      <c r="O171" s="197"/>
      <c r="P171" s="197"/>
      <c r="Q171" s="198"/>
      <c r="R171" s="7"/>
      <c r="S171" s="7"/>
      <c r="T171" s="7"/>
      <c r="U171" s="7"/>
      <c r="V171" s="7"/>
      <c r="W171" s="7"/>
      <c r="X171" s="7"/>
      <c r="AE171" s="189"/>
      <c r="AF171" s="199"/>
      <c r="AG171" s="199"/>
      <c r="AH171" s="199"/>
      <c r="AI171" s="199"/>
      <c r="AJ171" s="199"/>
      <c r="AK171" s="199"/>
    </row>
    <row r="172" spans="1:37" ht="15.75" customHeight="1" thickBot="1">
      <c r="A172" s="191">
        <v>172</v>
      </c>
      <c r="B172" s="192" t="s">
        <v>185</v>
      </c>
      <c r="C172" s="193">
        <v>33534</v>
      </c>
      <c r="D172" s="194" t="s">
        <v>71</v>
      </c>
      <c r="E172" s="194"/>
      <c r="F172" s="194" t="str">
        <f t="shared" si="2"/>
        <v>ч</v>
      </c>
      <c r="G172" s="192" t="str">
        <f>IF(G170="","",G170)</f>
        <v>Хмельницького р-ну</v>
      </c>
      <c r="H172" s="192" t="str">
        <f>IF(H170="","",H170)</f>
        <v>Хмельницький р-н</v>
      </c>
      <c r="I172" s="192">
        <f>IF(I170="","",I170)</f>
      </c>
      <c r="J172" s="378" t="s">
        <v>372</v>
      </c>
      <c r="K172" s="376"/>
      <c r="L172" s="7"/>
      <c r="M172" s="7"/>
      <c r="N172" s="200">
        <v>170</v>
      </c>
      <c r="O172" s="201"/>
      <c r="P172" s="202"/>
      <c r="Q172" s="202"/>
      <c r="R172" s="203"/>
      <c r="S172" s="7"/>
      <c r="T172" s="7"/>
      <c r="U172" s="7"/>
      <c r="V172" s="7"/>
      <c r="W172" s="7"/>
      <c r="X172" s="7"/>
      <c r="AE172" s="189"/>
      <c r="AF172" s="199"/>
      <c r="AG172" s="199"/>
      <c r="AH172" s="199"/>
      <c r="AI172" s="199"/>
      <c r="AJ172" s="199"/>
      <c r="AK172" s="199"/>
    </row>
    <row r="173" spans="1:37" ht="15.75" customHeight="1" thickBot="1">
      <c r="A173" s="191">
        <v>173</v>
      </c>
      <c r="B173" s="222" t="s">
        <v>374</v>
      </c>
      <c r="C173" s="193">
        <v>33937</v>
      </c>
      <c r="D173" s="223" t="s">
        <v>181</v>
      </c>
      <c r="E173" s="194"/>
      <c r="F173" s="194" t="str">
        <f t="shared" si="2"/>
        <v>ж</v>
      </c>
      <c r="G173" s="192" t="str">
        <f>IF(G170="","",G170)</f>
        <v>Хмельницького р-ну</v>
      </c>
      <c r="H173" s="192" t="str">
        <f>IF(H170="","",H170)</f>
        <v>Хмельницький р-н</v>
      </c>
      <c r="I173" s="192">
        <f>IF(I170="","",I170)</f>
      </c>
      <c r="J173" s="378" t="s">
        <v>372</v>
      </c>
      <c r="K173" s="376"/>
      <c r="L173" s="7"/>
      <c r="M173" s="7"/>
      <c r="N173" s="204" t="s">
        <v>215</v>
      </c>
      <c r="O173" s="204">
        <v>170</v>
      </c>
      <c r="P173" s="205">
        <v>171</v>
      </c>
      <c r="Q173" s="205">
        <v>172</v>
      </c>
      <c r="R173" s="205">
        <v>173</v>
      </c>
      <c r="S173" s="205">
        <v>174</v>
      </c>
      <c r="T173" s="205">
        <v>175</v>
      </c>
      <c r="U173" s="206">
        <v>176</v>
      </c>
      <c r="V173" s="7"/>
      <c r="W173" s="7"/>
      <c r="X173" s="7"/>
      <c r="AE173" s="189"/>
      <c r="AF173" s="199"/>
      <c r="AG173" s="199"/>
      <c r="AH173" s="199"/>
      <c r="AI173" s="199"/>
      <c r="AJ173" s="199"/>
      <c r="AK173" s="199"/>
    </row>
    <row r="174" spans="1:37" ht="15.75" customHeight="1" thickBot="1">
      <c r="A174" s="191">
        <v>174</v>
      </c>
      <c r="B174" s="222" t="s">
        <v>375</v>
      </c>
      <c r="C174" s="193">
        <v>30136</v>
      </c>
      <c r="D174" s="194" t="s">
        <v>181</v>
      </c>
      <c r="E174" s="194"/>
      <c r="F174" s="194" t="str">
        <f t="shared" si="2"/>
        <v>ж</v>
      </c>
      <c r="G174" s="192" t="str">
        <f>IF(G170="","",G170)</f>
        <v>Хмельницького р-ну</v>
      </c>
      <c r="H174" s="192" t="str">
        <f>IF(H170="","",H170)</f>
        <v>Хмельницький р-н</v>
      </c>
      <c r="I174" s="192">
        <f>IF(I170="","",I170)</f>
      </c>
      <c r="J174" s="378" t="s">
        <v>372</v>
      </c>
      <c r="K174" s="376"/>
      <c r="L174" s="7"/>
      <c r="M174" s="7"/>
      <c r="N174" s="7"/>
      <c r="O174" s="275"/>
      <c r="P174" s="275">
        <v>170</v>
      </c>
      <c r="Q174" s="276"/>
      <c r="R174" s="276"/>
      <c r="S174" s="276"/>
      <c r="T174" s="276"/>
      <c r="U174" s="276"/>
      <c r="V174" s="277"/>
      <c r="W174" s="7"/>
      <c r="X174" s="7"/>
      <c r="AE174" s="189"/>
      <c r="AF174" s="199"/>
      <c r="AG174" s="199"/>
      <c r="AH174" s="199"/>
      <c r="AI174" s="199"/>
      <c r="AJ174" s="199"/>
      <c r="AK174" s="199"/>
    </row>
    <row r="175" spans="1:37" ht="15.75" customHeight="1" thickBot="1">
      <c r="A175" s="191">
        <v>175</v>
      </c>
      <c r="B175" s="222" t="s">
        <v>376</v>
      </c>
      <c r="C175" s="193">
        <v>32826</v>
      </c>
      <c r="D175" s="223" t="s">
        <v>70</v>
      </c>
      <c r="E175" s="194"/>
      <c r="F175" s="194" t="str">
        <f t="shared" si="2"/>
        <v>ч</v>
      </c>
      <c r="G175" s="192" t="str">
        <f>IF(G170="","",G170)</f>
        <v>Хмельницького р-ну</v>
      </c>
      <c r="H175" s="192" t="str">
        <f>IF(H170="","",H170)</f>
        <v>Хмельницький р-н</v>
      </c>
      <c r="I175" s="192">
        <f>IF(I170="","",I170)</f>
      </c>
      <c r="J175" s="378" t="s">
        <v>372</v>
      </c>
      <c r="K175" s="376"/>
      <c r="L175" s="7"/>
      <c r="M175" s="7"/>
      <c r="N175" s="7"/>
      <c r="O175" s="7"/>
      <c r="P175" s="207" t="s">
        <v>106</v>
      </c>
      <c r="Q175" s="207">
        <v>170</v>
      </c>
      <c r="R175" s="208"/>
      <c r="S175" s="208"/>
      <c r="T175" s="208"/>
      <c r="U175" s="208"/>
      <c r="V175" s="209"/>
      <c r="W175" s="208"/>
      <c r="X175" s="7"/>
      <c r="AE175" s="189"/>
      <c r="AF175" s="199"/>
      <c r="AG175" s="199"/>
      <c r="AH175" s="199"/>
      <c r="AI175" s="199"/>
      <c r="AJ175" s="199"/>
      <c r="AK175" s="199"/>
    </row>
    <row r="176" spans="1:37" ht="15.75" customHeight="1">
      <c r="A176" s="191">
        <v>176</v>
      </c>
      <c r="B176" s="222" t="s">
        <v>223</v>
      </c>
      <c r="C176" s="193">
        <v>28008</v>
      </c>
      <c r="D176" s="223" t="s">
        <v>37</v>
      </c>
      <c r="E176" s="194"/>
      <c r="F176" s="194" t="str">
        <f t="shared" si="2"/>
        <v>ж</v>
      </c>
      <c r="G176" s="192" t="str">
        <f>IF(G170="","",G170)</f>
        <v>Хмельницького р-ну</v>
      </c>
      <c r="H176" s="192" t="str">
        <f>IF(H170="","",H170)</f>
        <v>Хмельницький р-н</v>
      </c>
      <c r="I176" s="192">
        <f>IF(I170="","",I170)</f>
      </c>
      <c r="J176" s="378" t="s">
        <v>372</v>
      </c>
      <c r="K176" s="376"/>
      <c r="L176" s="7"/>
      <c r="M176" s="7"/>
      <c r="N176" s="7"/>
      <c r="O176" s="7"/>
      <c r="P176" s="7"/>
      <c r="Q176" s="207" t="s">
        <v>107</v>
      </c>
      <c r="R176" s="207">
        <v>170</v>
      </c>
      <c r="S176" s="208"/>
      <c r="T176" s="208"/>
      <c r="U176" s="208"/>
      <c r="V176" s="208"/>
      <c r="W176" s="209"/>
      <c r="X176" s="208"/>
      <c r="AE176" s="189"/>
      <c r="AF176" s="199"/>
      <c r="AG176" s="199"/>
      <c r="AH176" s="199"/>
      <c r="AI176" s="199"/>
      <c r="AJ176" s="199"/>
      <c r="AK176" s="199"/>
    </row>
    <row r="177" spans="1:37" ht="15.75" customHeight="1">
      <c r="A177" s="191">
        <v>177</v>
      </c>
      <c r="B177" s="222" t="s">
        <v>313</v>
      </c>
      <c r="C177" s="193">
        <v>33266</v>
      </c>
      <c r="D177" s="223" t="s">
        <v>71</v>
      </c>
      <c r="E177" s="194"/>
      <c r="F177" s="194" t="str">
        <f t="shared" si="2"/>
        <v>ч</v>
      </c>
      <c r="G177" s="192" t="str">
        <f>IF(G170="","",G170)</f>
        <v>Хмельницького р-ну</v>
      </c>
      <c r="H177" s="192" t="str">
        <f>IF(H170="","",H170)</f>
        <v>Хмельницький р-н</v>
      </c>
      <c r="I177" s="192">
        <f>IF(I170="","",I170)</f>
      </c>
      <c r="J177" s="378" t="s">
        <v>372</v>
      </c>
      <c r="K177" s="376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AE177" s="189"/>
      <c r="AF177" s="199"/>
      <c r="AG177" s="199"/>
      <c r="AH177" s="199"/>
      <c r="AI177" s="199"/>
      <c r="AJ177" s="199"/>
      <c r="AK177" s="199"/>
    </row>
    <row r="178" spans="1:37" ht="15.75" customHeight="1">
      <c r="A178" s="191">
        <v>178</v>
      </c>
      <c r="B178" s="222" t="s">
        <v>322</v>
      </c>
      <c r="C178" s="193">
        <v>31169</v>
      </c>
      <c r="D178" s="223" t="s">
        <v>71</v>
      </c>
      <c r="E178" s="194"/>
      <c r="F178" s="194" t="str">
        <f t="shared" si="2"/>
        <v>ж</v>
      </c>
      <c r="G178" s="192" t="str">
        <f>IF(G170="","",G170)</f>
        <v>Хмельницького р-ну</v>
      </c>
      <c r="H178" s="192" t="str">
        <f>IF(H170="","",H170)</f>
        <v>Хмельницький р-н</v>
      </c>
      <c r="I178" s="192">
        <f>IF(I170="","",I170)</f>
      </c>
      <c r="J178" s="377" t="s">
        <v>372</v>
      </c>
      <c r="K178" s="37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AE178" s="189"/>
      <c r="AF178" s="199"/>
      <c r="AG178" s="199"/>
      <c r="AH178" s="199"/>
      <c r="AI178" s="199"/>
      <c r="AJ178" s="199"/>
      <c r="AK178" s="199"/>
    </row>
    <row r="179" spans="1:37" ht="15.75" customHeight="1" thickBot="1">
      <c r="A179" s="191">
        <v>179</v>
      </c>
      <c r="B179" s="192"/>
      <c r="C179" s="193"/>
      <c r="D179" s="194"/>
      <c r="E179" s="194"/>
      <c r="F179" s="194">
        <f t="shared" si="2"/>
      </c>
      <c r="G179" s="192" t="str">
        <f>IF(G170="","",G170)</f>
        <v>Хмельницького р-ну</v>
      </c>
      <c r="H179" s="192" t="str">
        <f>IF(H170="","",H170)</f>
        <v>Хмельницький р-н</v>
      </c>
      <c r="I179" s="192">
        <f>IF(I170="","",I170)</f>
      </c>
      <c r="J179" s="378"/>
      <c r="K179" s="376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AE179" s="189"/>
      <c r="AF179" s="199"/>
      <c r="AG179" s="199"/>
      <c r="AH179" s="199"/>
      <c r="AI179" s="199"/>
      <c r="AJ179" s="199"/>
      <c r="AK179" s="199"/>
    </row>
    <row r="180" spans="1:37" ht="15.75" customHeight="1" thickBot="1">
      <c r="A180" s="180">
        <v>180</v>
      </c>
      <c r="B180" s="181"/>
      <c r="C180" s="182"/>
      <c r="D180" s="183"/>
      <c r="E180" s="183"/>
      <c r="F180" s="183">
        <f t="shared" si="2"/>
      </c>
      <c r="G180" s="239" t="s">
        <v>141</v>
      </c>
      <c r="H180" s="181" t="s">
        <v>63</v>
      </c>
      <c r="I180" s="181"/>
      <c r="J180" s="375"/>
      <c r="K180" s="376"/>
      <c r="L180" s="184">
        <v>180</v>
      </c>
      <c r="M180" s="185"/>
      <c r="N180" s="186"/>
      <c r="O180" s="186"/>
      <c r="P180" s="187"/>
      <c r="Q180" s="7"/>
      <c r="R180" s="7"/>
      <c r="AE180" s="189" t="str">
        <f>IF(COUNTIF($D180:$D189,AE$9)=0,"—",COUNTIF($D180:$D189,AE$9))</f>
        <v>—</v>
      </c>
      <c r="AF180" s="189">
        <f>IF(COUNTIF($D180:$D189,AF$9)=0,"—",COUNTIF($D180:$D189,AF$9))</f>
        <v>5</v>
      </c>
      <c r="AG180" s="189" t="str">
        <f>IF(COUNTIF($D180:$D189,AG$9)=0,"—",COUNTIF($D180:$D189,AG$9))</f>
        <v>—</v>
      </c>
      <c r="AH180" s="189" t="str">
        <f>IF(COUNTIF($D180:$D189,AH$9)=0,"—",COUNTIF($D180:$D189,AH$9))</f>
        <v>—</v>
      </c>
      <c r="AI180" s="189" t="str">
        <f>IF(COUNTIF($D180:$D189,AI$9)=0,"—",COUNTIF($D180:$D189,AI$9))</f>
        <v>—</v>
      </c>
      <c r="AJ180" s="189">
        <f>IF(COUNTIF($F180:$F189,AJ$9)=0,"—",COUNTIF($F180:$F189,AJ$9))</f>
        <v>5</v>
      </c>
      <c r="AK180" s="189">
        <f>IF(COUNTIF($F180:$F189,AK$9)=0,"—",COUNTIF($F180:$F189,AK$9))</f>
        <v>3</v>
      </c>
    </row>
    <row r="181" spans="1:37" ht="15.75" customHeight="1" thickBot="1">
      <c r="A181" s="191">
        <v>181</v>
      </c>
      <c r="B181" s="222" t="s">
        <v>242</v>
      </c>
      <c r="C181" s="193">
        <v>30744</v>
      </c>
      <c r="D181" s="223" t="s">
        <v>71</v>
      </c>
      <c r="E181" s="194"/>
      <c r="F181" s="194" t="str">
        <f t="shared" si="2"/>
        <v>ч</v>
      </c>
      <c r="G181" s="192" t="str">
        <f>IF(G180="","",G180)</f>
        <v>Чемеровецького р-ну</v>
      </c>
      <c r="H181" s="192" t="str">
        <f>IF(H180="","",H180)</f>
        <v>Чемеровецький р-н</v>
      </c>
      <c r="I181" s="192">
        <f>IF(I180="","",I180)</f>
      </c>
      <c r="J181" s="377" t="s">
        <v>364</v>
      </c>
      <c r="K181" s="376"/>
      <c r="L181" s="7"/>
      <c r="M181" s="195">
        <v>180</v>
      </c>
      <c r="N181" s="196"/>
      <c r="O181" s="197"/>
      <c r="P181" s="197"/>
      <c r="Q181" s="198"/>
      <c r="R181" s="7"/>
      <c r="S181" s="7"/>
      <c r="T181" s="7"/>
      <c r="U181" s="7"/>
      <c r="V181" s="7"/>
      <c r="W181" s="7"/>
      <c r="X181" s="7"/>
      <c r="AE181" s="189"/>
      <c r="AF181" s="199"/>
      <c r="AG181" s="199"/>
      <c r="AH181" s="199"/>
      <c r="AI181" s="199"/>
      <c r="AJ181" s="199"/>
      <c r="AK181" s="199"/>
    </row>
    <row r="182" spans="1:37" ht="15.75" customHeight="1" thickBot="1">
      <c r="A182" s="191">
        <v>182</v>
      </c>
      <c r="B182" s="222" t="s">
        <v>244</v>
      </c>
      <c r="C182" s="193">
        <v>31862</v>
      </c>
      <c r="D182" s="223" t="s">
        <v>71</v>
      </c>
      <c r="E182" s="194"/>
      <c r="F182" s="194" t="str">
        <f t="shared" si="2"/>
        <v>ч</v>
      </c>
      <c r="G182" s="192" t="str">
        <f>IF(G180="","",G180)</f>
        <v>Чемеровецького р-ну</v>
      </c>
      <c r="H182" s="192" t="str">
        <f>IF(H180="","",H180)</f>
        <v>Чемеровецький р-н</v>
      </c>
      <c r="I182" s="192">
        <f>IF(I180="","",I180)</f>
      </c>
      <c r="J182" s="377" t="s">
        <v>364</v>
      </c>
      <c r="K182" s="376"/>
      <c r="L182" s="7"/>
      <c r="M182" s="7"/>
      <c r="N182" s="200">
        <v>180</v>
      </c>
      <c r="O182" s="201"/>
      <c r="P182" s="202"/>
      <c r="Q182" s="202"/>
      <c r="R182" s="203"/>
      <c r="S182" s="7"/>
      <c r="T182" s="7"/>
      <c r="U182" s="7"/>
      <c r="V182" s="7"/>
      <c r="W182" s="7"/>
      <c r="X182" s="7"/>
      <c r="AE182" s="189"/>
      <c r="AF182" s="199"/>
      <c r="AG182" s="199"/>
      <c r="AH182" s="199"/>
      <c r="AI182" s="199"/>
      <c r="AJ182" s="199"/>
      <c r="AK182" s="199"/>
    </row>
    <row r="183" spans="1:37" ht="15.75" customHeight="1" thickBot="1">
      <c r="A183" s="191">
        <v>183</v>
      </c>
      <c r="B183" s="222" t="s">
        <v>386</v>
      </c>
      <c r="C183" s="193">
        <v>30932</v>
      </c>
      <c r="D183" s="223" t="s">
        <v>71</v>
      </c>
      <c r="E183" s="194"/>
      <c r="F183" s="194" t="str">
        <f t="shared" si="2"/>
        <v>ч</v>
      </c>
      <c r="G183" s="192" t="str">
        <f>IF(G180="","",G180)</f>
        <v>Чемеровецького р-ну</v>
      </c>
      <c r="H183" s="192" t="str">
        <f>IF(H180="","",H180)</f>
        <v>Чемеровецький р-н</v>
      </c>
      <c r="I183" s="192">
        <f>IF(I180="","",I180)</f>
      </c>
      <c r="J183" s="378" t="s">
        <v>364</v>
      </c>
      <c r="K183" s="376"/>
      <c r="L183" s="7"/>
      <c r="M183" s="7"/>
      <c r="N183" s="204" t="s">
        <v>215</v>
      </c>
      <c r="O183" s="204">
        <v>180</v>
      </c>
      <c r="P183" s="205">
        <v>186</v>
      </c>
      <c r="Q183" s="205">
        <v>185</v>
      </c>
      <c r="R183" s="205">
        <v>183</v>
      </c>
      <c r="S183" s="205">
        <v>187</v>
      </c>
      <c r="T183" s="205">
        <v>181</v>
      </c>
      <c r="U183" s="206">
        <v>182</v>
      </c>
      <c r="V183" s="7"/>
      <c r="W183" s="7"/>
      <c r="X183" s="7"/>
      <c r="AE183" s="189"/>
      <c r="AF183" s="199"/>
      <c r="AG183" s="199"/>
      <c r="AH183" s="199"/>
      <c r="AI183" s="199"/>
      <c r="AJ183" s="199"/>
      <c r="AK183" s="199"/>
    </row>
    <row r="184" spans="1:37" ht="15.75" customHeight="1" thickBot="1">
      <c r="A184" s="191">
        <v>184</v>
      </c>
      <c r="B184" s="222" t="s">
        <v>243</v>
      </c>
      <c r="C184" s="193">
        <v>32007</v>
      </c>
      <c r="D184" s="223" t="s">
        <v>71</v>
      </c>
      <c r="E184" s="194"/>
      <c r="F184" s="194" t="str">
        <f t="shared" si="2"/>
        <v>ж</v>
      </c>
      <c r="G184" s="192" t="str">
        <f>IF(G180="","",G180)</f>
        <v>Чемеровецького р-ну</v>
      </c>
      <c r="H184" s="192" t="str">
        <f>IF(H180="","",H180)</f>
        <v>Чемеровецький р-н</v>
      </c>
      <c r="I184" s="192">
        <f>IF(I180="","",I180)</f>
      </c>
      <c r="J184" s="378" t="s">
        <v>364</v>
      </c>
      <c r="K184" s="376"/>
      <c r="L184" s="7"/>
      <c r="M184" s="7"/>
      <c r="N184" s="7"/>
      <c r="O184" s="275"/>
      <c r="P184" s="275">
        <v>180</v>
      </c>
      <c r="Q184" s="276"/>
      <c r="R184" s="276"/>
      <c r="S184" s="276"/>
      <c r="T184" s="276"/>
      <c r="U184" s="276"/>
      <c r="V184" s="277"/>
      <c r="W184" s="7"/>
      <c r="X184" s="7"/>
      <c r="AE184" s="189"/>
      <c r="AF184" s="199"/>
      <c r="AG184" s="199"/>
      <c r="AH184" s="199"/>
      <c r="AI184" s="199"/>
      <c r="AJ184" s="199"/>
      <c r="AK184" s="199"/>
    </row>
    <row r="185" spans="1:37" ht="15.75" customHeight="1" thickBot="1">
      <c r="A185" s="191">
        <v>185</v>
      </c>
      <c r="B185" s="222" t="s">
        <v>245</v>
      </c>
      <c r="C185" s="193">
        <v>33547</v>
      </c>
      <c r="D185" s="223" t="s">
        <v>71</v>
      </c>
      <c r="E185" s="194"/>
      <c r="F185" s="194" t="str">
        <f t="shared" si="2"/>
        <v>ж</v>
      </c>
      <c r="G185" s="192" t="str">
        <f>IF(G180="","",G180)</f>
        <v>Чемеровецького р-ну</v>
      </c>
      <c r="H185" s="192" t="str">
        <f>IF(H180="","",H180)</f>
        <v>Чемеровецький р-н</v>
      </c>
      <c r="I185" s="192">
        <f>IF(I180="","",I180)</f>
      </c>
      <c r="J185" s="378" t="s">
        <v>364</v>
      </c>
      <c r="K185" s="376"/>
      <c r="L185" s="7"/>
      <c r="M185" s="7"/>
      <c r="N185" s="7"/>
      <c r="O185" s="7"/>
      <c r="P185" s="207" t="s">
        <v>106</v>
      </c>
      <c r="Q185" s="207">
        <v>180</v>
      </c>
      <c r="R185" s="208"/>
      <c r="S185" s="208"/>
      <c r="T185" s="208"/>
      <c r="U185" s="208"/>
      <c r="V185" s="209"/>
      <c r="W185" s="208"/>
      <c r="X185" s="7"/>
      <c r="AE185" s="189"/>
      <c r="AF185" s="199"/>
      <c r="AG185" s="199"/>
      <c r="AH185" s="199"/>
      <c r="AI185" s="199"/>
      <c r="AJ185" s="199"/>
      <c r="AK185" s="199"/>
    </row>
    <row r="186" spans="1:37" ht="15.75" customHeight="1">
      <c r="A186" s="191">
        <v>186</v>
      </c>
      <c r="B186" s="222" t="s">
        <v>361</v>
      </c>
      <c r="C186" s="193">
        <v>33655</v>
      </c>
      <c r="D186" s="223" t="s">
        <v>181</v>
      </c>
      <c r="E186" s="194"/>
      <c r="F186" s="194" t="str">
        <f t="shared" si="2"/>
        <v>ж</v>
      </c>
      <c r="G186" s="192" t="str">
        <f>IF(G180="","",G180)</f>
        <v>Чемеровецького р-ну</v>
      </c>
      <c r="H186" s="192" t="str">
        <f>IF(H180="","",H180)</f>
        <v>Чемеровецький р-н</v>
      </c>
      <c r="I186" s="192">
        <f>IF(I180="","",I180)</f>
      </c>
      <c r="J186" s="378" t="s">
        <v>364</v>
      </c>
      <c r="K186" s="376"/>
      <c r="L186" s="7"/>
      <c r="M186" s="7"/>
      <c r="N186" s="7"/>
      <c r="O186" s="7"/>
      <c r="P186" s="7"/>
      <c r="Q186" s="207" t="s">
        <v>107</v>
      </c>
      <c r="R186" s="207">
        <v>180</v>
      </c>
      <c r="S186" s="208"/>
      <c r="T186" s="208"/>
      <c r="U186" s="208"/>
      <c r="V186" s="208"/>
      <c r="W186" s="209"/>
      <c r="X186" s="208"/>
      <c r="AE186" s="189"/>
      <c r="AF186" s="199"/>
      <c r="AG186" s="199"/>
      <c r="AH186" s="199"/>
      <c r="AI186" s="199"/>
      <c r="AJ186" s="199"/>
      <c r="AK186" s="199"/>
    </row>
    <row r="187" spans="1:37" ht="15.75" customHeight="1">
      <c r="A187" s="191">
        <v>187</v>
      </c>
      <c r="B187" s="222" t="s">
        <v>362</v>
      </c>
      <c r="C187" s="193">
        <v>34172</v>
      </c>
      <c r="D187" s="223" t="s">
        <v>181</v>
      </c>
      <c r="E187" s="194"/>
      <c r="F187" s="194" t="str">
        <f t="shared" si="2"/>
        <v>ч</v>
      </c>
      <c r="G187" s="192" t="str">
        <f>IF(G180="","",G180)</f>
        <v>Чемеровецького р-ну</v>
      </c>
      <c r="H187" s="192" t="str">
        <f>IF(H180="","",H180)</f>
        <v>Чемеровецький р-н</v>
      </c>
      <c r="I187" s="192">
        <f>IF(I180="","",I180)</f>
      </c>
      <c r="J187" s="378" t="s">
        <v>364</v>
      </c>
      <c r="K187" s="37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AE187" s="189"/>
      <c r="AF187" s="199"/>
      <c r="AG187" s="199"/>
      <c r="AH187" s="199"/>
      <c r="AI187" s="199"/>
      <c r="AJ187" s="199"/>
      <c r="AK187" s="199"/>
    </row>
    <row r="188" spans="1:37" ht="15.75" customHeight="1">
      <c r="A188" s="191">
        <v>188</v>
      </c>
      <c r="B188" s="222" t="s">
        <v>363</v>
      </c>
      <c r="C188" s="193">
        <v>33331</v>
      </c>
      <c r="D188" s="194" t="s">
        <v>181</v>
      </c>
      <c r="E188" s="194"/>
      <c r="F188" s="194" t="str">
        <f t="shared" si="2"/>
        <v>ч</v>
      </c>
      <c r="G188" s="192" t="str">
        <f>IF(G180="","",G180)</f>
        <v>Чемеровецького р-ну</v>
      </c>
      <c r="H188" s="192" t="str">
        <f>IF(H180="","",H180)</f>
        <v>Чемеровецький р-н</v>
      </c>
      <c r="I188" s="192">
        <f>IF(I180="","",I180)</f>
      </c>
      <c r="J188" s="378" t="s">
        <v>364</v>
      </c>
      <c r="K188" s="376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AE188" s="189"/>
      <c r="AF188" s="199"/>
      <c r="AG188" s="199"/>
      <c r="AH188" s="199"/>
      <c r="AI188" s="199"/>
      <c r="AJ188" s="199"/>
      <c r="AK188" s="199"/>
    </row>
    <row r="189" spans="1:37" ht="15.75" customHeight="1" thickBot="1">
      <c r="A189" s="191">
        <v>189</v>
      </c>
      <c r="B189" s="192"/>
      <c r="C189" s="193"/>
      <c r="D189" s="194"/>
      <c r="E189" s="194"/>
      <c r="F189" s="194">
        <f t="shared" si="2"/>
      </c>
      <c r="G189" s="192" t="str">
        <f>IF(G180="","",G180)</f>
        <v>Чемеровецького р-ну</v>
      </c>
      <c r="H189" s="192" t="str">
        <f>IF(H180="","",H180)</f>
        <v>Чемеровецький р-н</v>
      </c>
      <c r="I189" s="192">
        <f>IF(I180="","",I180)</f>
      </c>
      <c r="J189" s="378"/>
      <c r="K189" s="376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AE189" s="189"/>
      <c r="AF189" s="199"/>
      <c r="AG189" s="199"/>
      <c r="AH189" s="199"/>
      <c r="AI189" s="199"/>
      <c r="AJ189" s="199"/>
      <c r="AK189" s="199"/>
    </row>
    <row r="190" spans="1:37" ht="15.75" customHeight="1" thickBot="1">
      <c r="A190" s="180">
        <v>190</v>
      </c>
      <c r="B190" s="181"/>
      <c r="C190" s="182"/>
      <c r="D190" s="183"/>
      <c r="E190" s="183"/>
      <c r="F190" s="183">
        <f t="shared" si="2"/>
      </c>
      <c r="G190" s="239" t="s">
        <v>246</v>
      </c>
      <c r="H190" s="181" t="s">
        <v>64</v>
      </c>
      <c r="I190" s="181"/>
      <c r="J190" s="375"/>
      <c r="K190" s="376"/>
      <c r="L190" s="184">
        <v>190</v>
      </c>
      <c r="M190" s="185"/>
      <c r="N190" s="186"/>
      <c r="O190" s="186"/>
      <c r="P190" s="187"/>
      <c r="Q190" s="7"/>
      <c r="R190" s="7"/>
      <c r="AE190" s="189">
        <f>IF(COUNTIF($D190:$D199,AE$9)=0,"—",COUNTIF($D190:$D199,AE$9))</f>
        <v>1</v>
      </c>
      <c r="AF190" s="189">
        <f>IF(COUNTIF($D190:$D199,AF$9)=0,"—",COUNTIF($D190:$D199,AF$9))</f>
        <v>1</v>
      </c>
      <c r="AG190" s="189" t="str">
        <f>IF(COUNTIF($D190:$D199,AG$9)=0,"—",COUNTIF($D190:$D199,AG$9))</f>
        <v>—</v>
      </c>
      <c r="AH190" s="189">
        <f>IF(COUNTIF($D190:$D199,AH$9)=0,"—",COUNTIF($D190:$D199,AH$9))</f>
        <v>6</v>
      </c>
      <c r="AI190" s="189" t="str">
        <f>IF(COUNTIF($D190:$D199,AI$9)=0,"—",COUNTIF($D190:$D199,AI$9))</f>
        <v>—</v>
      </c>
      <c r="AJ190" s="189">
        <f>IF(COUNTIF($F190:$F199,AJ$9)=0,"—",COUNTIF($F190:$F199,AJ$9))</f>
        <v>6</v>
      </c>
      <c r="AK190" s="189">
        <f>IF(COUNTIF($F190:$F199,AK$9)=0,"—",COUNTIF($F190:$F199,AK$9))</f>
        <v>2</v>
      </c>
    </row>
    <row r="191" spans="1:37" ht="15.75" customHeight="1" thickBot="1">
      <c r="A191" s="191">
        <v>191</v>
      </c>
      <c r="B191" s="192" t="s">
        <v>173</v>
      </c>
      <c r="C191" s="193">
        <v>28012</v>
      </c>
      <c r="D191" s="194" t="s">
        <v>37</v>
      </c>
      <c r="E191" s="194"/>
      <c r="F191" s="194" t="str">
        <f t="shared" si="2"/>
        <v>ч</v>
      </c>
      <c r="G191" s="192" t="str">
        <f>IF(G190="","",G190)</f>
        <v>Шепетівського р-ну</v>
      </c>
      <c r="H191" s="192" t="str">
        <f>IF(H190="","",H190)</f>
        <v>Шепетівський р-н</v>
      </c>
      <c r="I191" s="192">
        <f>IF(I190="","",I190)</f>
      </c>
      <c r="J191" s="378" t="s">
        <v>177</v>
      </c>
      <c r="K191" s="376"/>
      <c r="L191" s="7"/>
      <c r="M191" s="195">
        <v>190</v>
      </c>
      <c r="N191" s="196"/>
      <c r="O191" s="197"/>
      <c r="P191" s="197"/>
      <c r="Q191" s="198"/>
      <c r="R191" s="7"/>
      <c r="S191" s="7"/>
      <c r="T191" s="7"/>
      <c r="U191" s="7"/>
      <c r="V191" s="7"/>
      <c r="W191" s="7"/>
      <c r="X191" s="7"/>
      <c r="AE191" s="189"/>
      <c r="AF191" s="199"/>
      <c r="AG191" s="199"/>
      <c r="AH191" s="199"/>
      <c r="AI191" s="199"/>
      <c r="AJ191" s="199"/>
      <c r="AK191" s="199"/>
    </row>
    <row r="192" spans="1:37" ht="15.75" customHeight="1" thickBot="1">
      <c r="A192" s="191">
        <v>192</v>
      </c>
      <c r="B192" s="192" t="s">
        <v>174</v>
      </c>
      <c r="C192" s="193">
        <v>32041</v>
      </c>
      <c r="D192" s="194" t="s">
        <v>37</v>
      </c>
      <c r="E192" s="194"/>
      <c r="F192" s="194" t="str">
        <f t="shared" si="2"/>
        <v>ч</v>
      </c>
      <c r="G192" s="192" t="str">
        <f>IF(G190="","",G190)</f>
        <v>Шепетівського р-ну</v>
      </c>
      <c r="H192" s="192" t="str">
        <f>IF(H190="","",H190)</f>
        <v>Шепетівський р-н</v>
      </c>
      <c r="I192" s="192">
        <f>IF(I190="","",I190)</f>
      </c>
      <c r="J192" s="378" t="s">
        <v>228</v>
      </c>
      <c r="K192" s="376"/>
      <c r="L192" s="7"/>
      <c r="M192" s="7"/>
      <c r="N192" s="200">
        <v>190</v>
      </c>
      <c r="O192" s="201"/>
      <c r="P192" s="202"/>
      <c r="Q192" s="202"/>
      <c r="R192" s="203"/>
      <c r="S192" s="7"/>
      <c r="T192" s="7"/>
      <c r="U192" s="7"/>
      <c r="V192" s="7"/>
      <c r="W192" s="7"/>
      <c r="X192" s="7"/>
      <c r="AE192" s="189"/>
      <c r="AF192" s="199"/>
      <c r="AG192" s="199"/>
      <c r="AH192" s="199"/>
      <c r="AI192" s="199"/>
      <c r="AJ192" s="199"/>
      <c r="AK192" s="199"/>
    </row>
    <row r="193" spans="1:37" ht="15.75" customHeight="1" thickBot="1">
      <c r="A193" s="191">
        <v>193</v>
      </c>
      <c r="B193" s="192" t="s">
        <v>176</v>
      </c>
      <c r="C193" s="193">
        <v>30947</v>
      </c>
      <c r="D193" s="194" t="s">
        <v>37</v>
      </c>
      <c r="E193" s="194"/>
      <c r="F193" s="194" t="str">
        <f t="shared" si="2"/>
        <v>ч</v>
      </c>
      <c r="G193" s="192" t="str">
        <f>IF(G190="","",G190)</f>
        <v>Шепетівського р-ну</v>
      </c>
      <c r="H193" s="192" t="str">
        <f>IF(H190="","",H190)</f>
        <v>Шепетівський р-н</v>
      </c>
      <c r="I193" s="192">
        <f>IF(I190="","",I190)</f>
      </c>
      <c r="J193" s="378" t="s">
        <v>228</v>
      </c>
      <c r="K193" s="376"/>
      <c r="L193" s="7"/>
      <c r="M193" s="7"/>
      <c r="N193" s="204" t="s">
        <v>215</v>
      </c>
      <c r="O193" s="204">
        <v>190</v>
      </c>
      <c r="P193" s="205">
        <v>191</v>
      </c>
      <c r="Q193" s="205">
        <v>193</v>
      </c>
      <c r="R193" s="205">
        <v>192</v>
      </c>
      <c r="S193" s="205">
        <v>197</v>
      </c>
      <c r="T193" s="205">
        <v>195</v>
      </c>
      <c r="U193" s="206">
        <v>194</v>
      </c>
      <c r="V193" s="7"/>
      <c r="W193" s="7"/>
      <c r="X193" s="7"/>
      <c r="AE193" s="189"/>
      <c r="AF193" s="199"/>
      <c r="AG193" s="199"/>
      <c r="AH193" s="199"/>
      <c r="AI193" s="199"/>
      <c r="AJ193" s="199"/>
      <c r="AK193" s="199"/>
    </row>
    <row r="194" spans="1:37" ht="15.75" customHeight="1" thickBot="1">
      <c r="A194" s="191">
        <v>194</v>
      </c>
      <c r="B194" s="192" t="s">
        <v>175</v>
      </c>
      <c r="C194" s="193">
        <v>30473</v>
      </c>
      <c r="D194" s="194" t="s">
        <v>37</v>
      </c>
      <c r="E194" s="194"/>
      <c r="F194" s="194" t="str">
        <f t="shared" si="2"/>
        <v>ч</v>
      </c>
      <c r="G194" s="192" t="str">
        <f>IF(G190="","",G190)</f>
        <v>Шепетівського р-ну</v>
      </c>
      <c r="H194" s="192" t="str">
        <f>IF(H190="","",H190)</f>
        <v>Шепетівський р-н</v>
      </c>
      <c r="I194" s="192">
        <f>IF(I190="","",I190)</f>
      </c>
      <c r="J194" s="378" t="s">
        <v>228</v>
      </c>
      <c r="K194" s="376"/>
      <c r="L194" s="7"/>
      <c r="M194" s="7"/>
      <c r="N194" s="7"/>
      <c r="O194" s="275"/>
      <c r="P194" s="275">
        <v>190</v>
      </c>
      <c r="Q194" s="276"/>
      <c r="R194" s="276"/>
      <c r="S194" s="276"/>
      <c r="T194" s="276"/>
      <c r="U194" s="276"/>
      <c r="V194" s="277"/>
      <c r="W194" s="7"/>
      <c r="X194" s="7"/>
      <c r="AE194" s="189"/>
      <c r="AF194" s="199"/>
      <c r="AG194" s="199"/>
      <c r="AH194" s="199"/>
      <c r="AI194" s="199"/>
      <c r="AJ194" s="199"/>
      <c r="AK194" s="199"/>
    </row>
    <row r="195" spans="1:37" ht="15.75" customHeight="1" thickBot="1">
      <c r="A195" s="191">
        <v>195</v>
      </c>
      <c r="B195" s="222" t="s">
        <v>381</v>
      </c>
      <c r="C195" s="193">
        <v>32118</v>
      </c>
      <c r="D195" s="223" t="s">
        <v>72</v>
      </c>
      <c r="E195" s="194"/>
      <c r="F195" s="194" t="str">
        <f t="shared" si="2"/>
        <v>ч</v>
      </c>
      <c r="G195" s="192" t="str">
        <f>IF(G190="","",G190)</f>
        <v>Шепетівського р-ну</v>
      </c>
      <c r="H195" s="192" t="str">
        <f>IF(H190="","",H190)</f>
        <v>Шепетівський р-н</v>
      </c>
      <c r="I195" s="192">
        <f>IF(I190="","",I190)</f>
      </c>
      <c r="J195" s="378" t="s">
        <v>228</v>
      </c>
      <c r="K195" s="376"/>
      <c r="L195" s="7"/>
      <c r="M195" s="7"/>
      <c r="N195" s="7"/>
      <c r="O195" s="7"/>
      <c r="P195" s="207" t="s">
        <v>106</v>
      </c>
      <c r="Q195" s="207">
        <v>190</v>
      </c>
      <c r="R195" s="208"/>
      <c r="S195" s="208"/>
      <c r="T195" s="208"/>
      <c r="U195" s="208"/>
      <c r="V195" s="209"/>
      <c r="W195" s="208"/>
      <c r="X195" s="7"/>
      <c r="AE195" s="189"/>
      <c r="AF195" s="199"/>
      <c r="AG195" s="199"/>
      <c r="AH195" s="199"/>
      <c r="AI195" s="199"/>
      <c r="AJ195" s="199"/>
      <c r="AK195" s="199"/>
    </row>
    <row r="196" spans="1:37" ht="15.75" customHeight="1">
      <c r="A196" s="191">
        <v>196</v>
      </c>
      <c r="B196" s="222" t="s">
        <v>302</v>
      </c>
      <c r="C196" s="193">
        <v>33413</v>
      </c>
      <c r="D196" s="223" t="s">
        <v>37</v>
      </c>
      <c r="E196" s="194"/>
      <c r="F196" s="194" t="str">
        <f t="shared" si="2"/>
        <v>ч</v>
      </c>
      <c r="G196" s="192" t="str">
        <f>IF(G190="","",G190)</f>
        <v>Шепетівського р-ну</v>
      </c>
      <c r="H196" s="192" t="str">
        <f>IF(H190="","",H190)</f>
        <v>Шепетівський р-н</v>
      </c>
      <c r="I196" s="192">
        <f>IF(I190="","",I190)</f>
      </c>
      <c r="J196" s="378" t="s">
        <v>228</v>
      </c>
      <c r="K196" s="376"/>
      <c r="L196" s="7"/>
      <c r="M196" s="7"/>
      <c r="N196" s="7"/>
      <c r="O196" s="7"/>
      <c r="P196" s="7"/>
      <c r="Q196" s="207" t="s">
        <v>107</v>
      </c>
      <c r="R196" s="207">
        <v>190</v>
      </c>
      <c r="S196" s="208"/>
      <c r="T196" s="208"/>
      <c r="U196" s="208"/>
      <c r="V196" s="208"/>
      <c r="W196" s="209"/>
      <c r="X196" s="208"/>
      <c r="AE196" s="189"/>
      <c r="AF196" s="199"/>
      <c r="AG196" s="199"/>
      <c r="AH196" s="199"/>
      <c r="AI196" s="199"/>
      <c r="AJ196" s="199"/>
      <c r="AK196" s="199"/>
    </row>
    <row r="197" spans="1:37" ht="15.75" customHeight="1">
      <c r="A197" s="191">
        <v>197</v>
      </c>
      <c r="B197" s="192" t="s">
        <v>227</v>
      </c>
      <c r="C197" s="193">
        <v>33236</v>
      </c>
      <c r="D197" s="223" t="s">
        <v>37</v>
      </c>
      <c r="E197" s="194"/>
      <c r="F197" s="194" t="str">
        <f t="shared" si="2"/>
        <v>ж</v>
      </c>
      <c r="G197" s="192" t="str">
        <f>IF(G190="","",G190)</f>
        <v>Шепетівського р-ну</v>
      </c>
      <c r="H197" s="192" t="str">
        <f>IF(H190="","",H190)</f>
        <v>Шепетівський р-н</v>
      </c>
      <c r="I197" s="192">
        <f>IF(I190="","",I190)</f>
      </c>
      <c r="J197" s="378" t="s">
        <v>228</v>
      </c>
      <c r="K197" s="376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AE197" s="189"/>
      <c r="AF197" s="199"/>
      <c r="AG197" s="199"/>
      <c r="AH197" s="199"/>
      <c r="AI197" s="199"/>
      <c r="AJ197" s="199"/>
      <c r="AK197" s="199"/>
    </row>
    <row r="198" spans="1:37" ht="15.75" customHeight="1">
      <c r="A198" s="191">
        <v>198</v>
      </c>
      <c r="B198" s="222" t="s">
        <v>303</v>
      </c>
      <c r="C198" s="193">
        <v>28876</v>
      </c>
      <c r="D198" s="223" t="s">
        <v>71</v>
      </c>
      <c r="E198" s="194"/>
      <c r="F198" s="194" t="str">
        <f t="shared" si="2"/>
        <v>ж</v>
      </c>
      <c r="G198" s="192" t="str">
        <f>IF(G190="","",G190)</f>
        <v>Шепетівського р-ну</v>
      </c>
      <c r="H198" s="192" t="str">
        <f>IF(H190="","",H190)</f>
        <v>Шепетівський р-н</v>
      </c>
      <c r="I198" s="192">
        <f>IF(I190="","",I190)</f>
      </c>
      <c r="J198" s="378" t="s">
        <v>228</v>
      </c>
      <c r="K198" s="376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AE198" s="189"/>
      <c r="AF198" s="199"/>
      <c r="AG198" s="199"/>
      <c r="AH198" s="199"/>
      <c r="AI198" s="199"/>
      <c r="AJ198" s="199"/>
      <c r="AK198" s="199"/>
    </row>
    <row r="199" spans="1:37" ht="15.75" customHeight="1" thickBot="1">
      <c r="A199" s="191">
        <v>199</v>
      </c>
      <c r="B199" s="192"/>
      <c r="C199" s="193"/>
      <c r="D199" s="194"/>
      <c r="E199" s="194"/>
      <c r="F199" s="194">
        <f t="shared" si="2"/>
      </c>
      <c r="G199" s="192" t="str">
        <f>IF(G190="","",G190)</f>
        <v>Шепетівського р-ну</v>
      </c>
      <c r="H199" s="192" t="str">
        <f>IF(H190="","",H190)</f>
        <v>Шепетівський р-н</v>
      </c>
      <c r="I199" s="192">
        <f>IF(I190="","",I190)</f>
      </c>
      <c r="J199" s="378"/>
      <c r="K199" s="376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AE199" s="189"/>
      <c r="AF199" s="199"/>
      <c r="AG199" s="199"/>
      <c r="AH199" s="199"/>
      <c r="AI199" s="199"/>
      <c r="AJ199" s="199"/>
      <c r="AK199" s="199"/>
    </row>
    <row r="200" spans="1:37" ht="15.75" customHeight="1" thickBot="1">
      <c r="A200" s="180">
        <v>200</v>
      </c>
      <c r="B200" s="181"/>
      <c r="C200" s="182"/>
      <c r="D200" s="183"/>
      <c r="E200" s="183"/>
      <c r="F200" s="183">
        <f t="shared" si="2"/>
      </c>
      <c r="G200" s="181"/>
      <c r="H200" s="181" t="s">
        <v>65</v>
      </c>
      <c r="I200" s="181"/>
      <c r="J200" s="375"/>
      <c r="K200" s="376"/>
      <c r="L200" s="184">
        <v>200</v>
      </c>
      <c r="M200" s="185"/>
      <c r="N200" s="186"/>
      <c r="O200" s="186"/>
      <c r="P200" s="187"/>
      <c r="Q200" s="7"/>
      <c r="R200" s="7"/>
      <c r="AE200" s="189" t="str">
        <f>IF(COUNTIF($D200:$D209,AE$9)=0,"—",COUNTIF($D200:$D209,AE$9))</f>
        <v>—</v>
      </c>
      <c r="AF200" s="189" t="str">
        <f>IF(COUNTIF($D200:$D209,AF$9)=0,"—",COUNTIF($D200:$D209,AF$9))</f>
        <v>—</v>
      </c>
      <c r="AG200" s="189" t="str">
        <f>IF(COUNTIF($D200:$D209,AG$9)=0,"—",COUNTIF($D200:$D209,AG$9))</f>
        <v>—</v>
      </c>
      <c r="AH200" s="189" t="str">
        <f>IF(COUNTIF($D200:$D209,AH$9)=0,"—",COUNTIF($D200:$D209,AH$9))</f>
        <v>—</v>
      </c>
      <c r="AI200" s="189" t="str">
        <f>IF(COUNTIF($D200:$D209,AI$9)=0,"—",COUNTIF($D200:$D209,AI$9))</f>
        <v>—</v>
      </c>
      <c r="AJ200" s="189" t="str">
        <f>IF(COUNTIF($F200:$F209,AJ$9)=0,"—",COUNTIF($F200:$F209,AJ$9))</f>
        <v>—</v>
      </c>
      <c r="AK200" s="189" t="str">
        <f>IF(COUNTIF($F200:$F209,AK$9)=0,"—",COUNTIF($F200:$F209,AK$9))</f>
        <v>—</v>
      </c>
    </row>
    <row r="201" spans="1:37" ht="15.75" customHeight="1" thickBot="1">
      <c r="A201" s="191">
        <v>201</v>
      </c>
      <c r="B201" s="192"/>
      <c r="C201" s="193"/>
      <c r="D201" s="194"/>
      <c r="E201" s="194"/>
      <c r="F201" s="194">
        <f t="shared" si="2"/>
      </c>
      <c r="G201" s="192">
        <f>IF(G200="","",G200)</f>
      </c>
      <c r="H201" s="192" t="str">
        <f>IF(H200="","",H200)</f>
        <v>Ярмолинецький р-н</v>
      </c>
      <c r="I201" s="192">
        <f>IF(I200="","",I200)</f>
      </c>
      <c r="J201" s="378"/>
      <c r="K201" s="376"/>
      <c r="L201" s="7"/>
      <c r="M201" s="195">
        <v>200</v>
      </c>
      <c r="N201" s="196"/>
      <c r="O201" s="197"/>
      <c r="P201" s="197"/>
      <c r="Q201" s="198"/>
      <c r="R201" s="7"/>
      <c r="S201" s="7"/>
      <c r="T201" s="7"/>
      <c r="U201" s="7"/>
      <c r="V201" s="7"/>
      <c r="W201" s="7"/>
      <c r="X201" s="7"/>
      <c r="AE201" s="189"/>
      <c r="AF201" s="199"/>
      <c r="AG201" s="199"/>
      <c r="AH201" s="199"/>
      <c r="AI201" s="199"/>
      <c r="AJ201" s="199"/>
      <c r="AK201" s="199"/>
    </row>
    <row r="202" spans="1:37" ht="15.75" customHeight="1" thickBot="1">
      <c r="A202" s="191">
        <v>202</v>
      </c>
      <c r="B202" s="192"/>
      <c r="C202" s="193"/>
      <c r="D202" s="194"/>
      <c r="E202" s="194"/>
      <c r="F202" s="194">
        <f t="shared" si="2"/>
      </c>
      <c r="G202" s="192">
        <f>IF(G200="","",G200)</f>
      </c>
      <c r="H202" s="192" t="str">
        <f>IF(H200="","",H200)</f>
        <v>Ярмолинецький р-н</v>
      </c>
      <c r="I202" s="192">
        <f>IF(I200="","",I200)</f>
      </c>
      <c r="J202" s="378"/>
      <c r="K202" s="376"/>
      <c r="L202" s="7"/>
      <c r="M202" s="7"/>
      <c r="N202" s="200">
        <v>200</v>
      </c>
      <c r="O202" s="201"/>
      <c r="P202" s="202"/>
      <c r="Q202" s="202"/>
      <c r="R202" s="203"/>
      <c r="S202" s="7"/>
      <c r="T202" s="7"/>
      <c r="U202" s="7"/>
      <c r="V202" s="7"/>
      <c r="W202" s="7"/>
      <c r="X202" s="7"/>
      <c r="AE202" s="189"/>
      <c r="AF202" s="199"/>
      <c r="AG202" s="199"/>
      <c r="AH202" s="199"/>
      <c r="AI202" s="199"/>
      <c r="AJ202" s="199"/>
      <c r="AK202" s="199"/>
    </row>
    <row r="203" spans="1:37" ht="15.75" customHeight="1" thickBot="1">
      <c r="A203" s="191">
        <v>203</v>
      </c>
      <c r="B203" s="192"/>
      <c r="C203" s="193"/>
      <c r="D203" s="194"/>
      <c r="E203" s="194"/>
      <c r="F203" s="194">
        <f aca="true" t="shared" si="3" ref="F203:F266">IF(OR(RIGHT($B203,3)="вич",RIGHT($B203,2)="іч"),"ч",IF(RIGHT($B203,3)="вна","ж",IF(ISBLANK($B203),"","?")))</f>
      </c>
      <c r="G203" s="192">
        <f>IF(G200="","",G200)</f>
      </c>
      <c r="H203" s="192" t="str">
        <f>IF(H200="","",H200)</f>
        <v>Ярмолинецький р-н</v>
      </c>
      <c r="I203" s="192">
        <f>IF(I200="","",I200)</f>
      </c>
      <c r="J203" s="378"/>
      <c r="K203" s="376"/>
      <c r="L203" s="7"/>
      <c r="M203" s="7"/>
      <c r="N203" s="204" t="s">
        <v>215</v>
      </c>
      <c r="O203" s="204">
        <v>200</v>
      </c>
      <c r="P203" s="205"/>
      <c r="Q203" s="205"/>
      <c r="R203" s="205"/>
      <c r="S203" s="205"/>
      <c r="T203" s="205"/>
      <c r="U203" s="206"/>
      <c r="V203" s="7"/>
      <c r="W203" s="7"/>
      <c r="X203" s="7"/>
      <c r="AE203" s="189"/>
      <c r="AF203" s="199"/>
      <c r="AG203" s="199"/>
      <c r="AH203" s="199"/>
      <c r="AI203" s="199"/>
      <c r="AJ203" s="199"/>
      <c r="AK203" s="199"/>
    </row>
    <row r="204" spans="1:37" ht="15.75" customHeight="1" thickBot="1">
      <c r="A204" s="191">
        <v>204</v>
      </c>
      <c r="B204" s="192"/>
      <c r="C204" s="193"/>
      <c r="D204" s="194"/>
      <c r="E204" s="194"/>
      <c r="F204" s="194">
        <f t="shared" si="3"/>
      </c>
      <c r="G204" s="192">
        <f>IF(G200="","",G200)</f>
      </c>
      <c r="H204" s="192" t="str">
        <f>IF(H200="","",H200)</f>
        <v>Ярмолинецький р-н</v>
      </c>
      <c r="I204" s="192">
        <f>IF(I200="","",I200)</f>
      </c>
      <c r="J204" s="378"/>
      <c r="K204" s="376"/>
      <c r="L204" s="7"/>
      <c r="M204" s="7"/>
      <c r="N204" s="7"/>
      <c r="O204" s="275"/>
      <c r="P204" s="275">
        <v>200</v>
      </c>
      <c r="Q204" s="276"/>
      <c r="R204" s="276"/>
      <c r="S204" s="276"/>
      <c r="T204" s="276"/>
      <c r="U204" s="276"/>
      <c r="V204" s="277"/>
      <c r="W204" s="7"/>
      <c r="X204" s="7"/>
      <c r="AE204" s="189"/>
      <c r="AF204" s="199"/>
      <c r="AG204" s="199"/>
      <c r="AH204" s="199"/>
      <c r="AI204" s="199"/>
      <c r="AJ204" s="199"/>
      <c r="AK204" s="199"/>
    </row>
    <row r="205" spans="1:37" ht="15.75" customHeight="1" thickBot="1">
      <c r="A205" s="191">
        <v>205</v>
      </c>
      <c r="B205" s="192"/>
      <c r="C205" s="193"/>
      <c r="D205" s="194"/>
      <c r="E205" s="194"/>
      <c r="F205" s="194">
        <f t="shared" si="3"/>
      </c>
      <c r="G205" s="192">
        <f>IF(G200="","",G200)</f>
      </c>
      <c r="H205" s="192" t="str">
        <f>IF(H200="","",H200)</f>
        <v>Ярмолинецький р-н</v>
      </c>
      <c r="I205" s="192">
        <f>IF(I200="","",I200)</f>
      </c>
      <c r="J205" s="378"/>
      <c r="K205" s="376"/>
      <c r="L205" s="7"/>
      <c r="M205" s="7"/>
      <c r="N205" s="7"/>
      <c r="O205" s="7"/>
      <c r="P205" s="207" t="s">
        <v>106</v>
      </c>
      <c r="Q205" s="207">
        <v>200</v>
      </c>
      <c r="R205" s="208"/>
      <c r="S205" s="208"/>
      <c r="T205" s="208"/>
      <c r="U205" s="208"/>
      <c r="V205" s="209"/>
      <c r="W205" s="208"/>
      <c r="X205" s="7"/>
      <c r="AE205" s="189"/>
      <c r="AF205" s="199"/>
      <c r="AG205" s="199"/>
      <c r="AH205" s="199"/>
      <c r="AI205" s="199"/>
      <c r="AJ205" s="199"/>
      <c r="AK205" s="199"/>
    </row>
    <row r="206" spans="1:37" ht="15.75" customHeight="1">
      <c r="A206" s="191">
        <v>206</v>
      </c>
      <c r="B206" s="192"/>
      <c r="C206" s="193"/>
      <c r="D206" s="194"/>
      <c r="E206" s="194"/>
      <c r="F206" s="194">
        <f t="shared" si="3"/>
      </c>
      <c r="G206" s="192">
        <f>IF(G200="","",G200)</f>
      </c>
      <c r="H206" s="192" t="str">
        <f>IF(H200="","",H200)</f>
        <v>Ярмолинецький р-н</v>
      </c>
      <c r="I206" s="192">
        <f>IF(I200="","",I200)</f>
      </c>
      <c r="J206" s="378"/>
      <c r="K206" s="376"/>
      <c r="L206" s="7"/>
      <c r="M206" s="7"/>
      <c r="N206" s="7"/>
      <c r="O206" s="7"/>
      <c r="P206" s="7"/>
      <c r="Q206" s="207" t="s">
        <v>107</v>
      </c>
      <c r="R206" s="207">
        <v>200</v>
      </c>
      <c r="S206" s="208"/>
      <c r="T206" s="208"/>
      <c r="U206" s="208"/>
      <c r="V206" s="208"/>
      <c r="W206" s="209"/>
      <c r="X206" s="208"/>
      <c r="AE206" s="189"/>
      <c r="AF206" s="199"/>
      <c r="AG206" s="199"/>
      <c r="AH206" s="199"/>
      <c r="AI206" s="199"/>
      <c r="AJ206" s="199"/>
      <c r="AK206" s="199"/>
    </row>
    <row r="207" spans="1:37" ht="15.75" customHeight="1">
      <c r="A207" s="191">
        <v>207</v>
      </c>
      <c r="B207" s="192"/>
      <c r="C207" s="193"/>
      <c r="D207" s="194"/>
      <c r="E207" s="194"/>
      <c r="F207" s="194">
        <f t="shared" si="3"/>
      </c>
      <c r="G207" s="192">
        <f>IF(G200="","",G200)</f>
      </c>
      <c r="H207" s="192" t="str">
        <f>IF(H200="","",H200)</f>
        <v>Ярмолинецький р-н</v>
      </c>
      <c r="I207" s="192">
        <f>IF(I200="","",I200)</f>
      </c>
      <c r="J207" s="378"/>
      <c r="K207" s="376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AE207" s="189"/>
      <c r="AF207" s="199"/>
      <c r="AG207" s="199"/>
      <c r="AH207" s="199"/>
      <c r="AI207" s="199"/>
      <c r="AJ207" s="199"/>
      <c r="AK207" s="199"/>
    </row>
    <row r="208" spans="1:37" ht="15.75" customHeight="1">
      <c r="A208" s="191">
        <v>208</v>
      </c>
      <c r="B208" s="192"/>
      <c r="C208" s="193"/>
      <c r="D208" s="194"/>
      <c r="E208" s="194"/>
      <c r="F208" s="194">
        <f t="shared" si="3"/>
      </c>
      <c r="G208" s="192">
        <f>IF(G200="","",G200)</f>
      </c>
      <c r="H208" s="192" t="str">
        <f>IF(H200="","",H200)</f>
        <v>Ярмолинецький р-н</v>
      </c>
      <c r="I208" s="192">
        <f>IF(I200="","",I200)</f>
      </c>
      <c r="J208" s="378"/>
      <c r="K208" s="376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AE208" s="189"/>
      <c r="AF208" s="199"/>
      <c r="AG208" s="199"/>
      <c r="AH208" s="199"/>
      <c r="AI208" s="199"/>
      <c r="AJ208" s="199"/>
      <c r="AK208" s="199"/>
    </row>
    <row r="209" spans="1:37" ht="15.75" customHeight="1" thickBot="1">
      <c r="A209" s="191">
        <v>209</v>
      </c>
      <c r="B209" s="192"/>
      <c r="C209" s="193"/>
      <c r="D209" s="194"/>
      <c r="E209" s="194"/>
      <c r="F209" s="194">
        <f t="shared" si="3"/>
      </c>
      <c r="G209" s="192">
        <f>IF(G200="","",G200)</f>
      </c>
      <c r="H209" s="192" t="str">
        <f>IF(H200="","",H200)</f>
        <v>Ярмолинецький р-н</v>
      </c>
      <c r="I209" s="192">
        <f>IF(I200="","",I200)</f>
      </c>
      <c r="J209" s="378"/>
      <c r="K209" s="376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AE209" s="189"/>
      <c r="AF209" s="199"/>
      <c r="AG209" s="199"/>
      <c r="AH209" s="199"/>
      <c r="AI209" s="199"/>
      <c r="AJ209" s="199"/>
      <c r="AK209" s="199"/>
    </row>
    <row r="210" spans="1:37" ht="15.75" customHeight="1" thickBot="1">
      <c r="A210" s="180">
        <v>210</v>
      </c>
      <c r="B210" s="181"/>
      <c r="C210" s="182"/>
      <c r="D210" s="183"/>
      <c r="E210" s="183"/>
      <c r="F210" s="183">
        <f t="shared" si="3"/>
      </c>
      <c r="G210" s="239" t="s">
        <v>234</v>
      </c>
      <c r="H210" s="181" t="s">
        <v>66</v>
      </c>
      <c r="I210" s="181"/>
      <c r="J210" s="375"/>
      <c r="K210" s="376"/>
      <c r="L210" s="184">
        <v>210</v>
      </c>
      <c r="M210" s="185"/>
      <c r="N210" s="186"/>
      <c r="O210" s="186"/>
      <c r="P210" s="187"/>
      <c r="Q210" s="7"/>
      <c r="R210" s="7"/>
      <c r="AE210" s="189" t="str">
        <f>IF(COUNTIF($D210:$D219,AE$9)=0,"—",COUNTIF($D210:$D219,AE$9))</f>
        <v>—</v>
      </c>
      <c r="AF210" s="189" t="str">
        <f>IF(COUNTIF($D210:$D219,AF$9)=0,"—",COUNTIF($D210:$D219,AF$9))</f>
        <v>—</v>
      </c>
      <c r="AG210" s="189" t="str">
        <f>IF(COUNTIF($D210:$D219,AG$9)=0,"—",COUNTIF($D210:$D219,AG$9))</f>
        <v>—</v>
      </c>
      <c r="AH210" s="189">
        <f>IF(COUNTIF($D210:$D219,AH$9)=0,"—",COUNTIF($D210:$D219,AH$9))</f>
        <v>4</v>
      </c>
      <c r="AI210" s="189">
        <f>IF(COUNTIF($D210:$D219,AI$9)=0,"—",COUNTIF($D210:$D219,AI$9))</f>
        <v>1</v>
      </c>
      <c r="AJ210" s="189">
        <f>IF(COUNTIF($F210:$F219,AJ$9)=0,"—",COUNTIF($F210:$F219,AJ$9))</f>
        <v>4</v>
      </c>
      <c r="AK210" s="189">
        <f>IF(COUNTIF($F210:$F219,AK$9)=0,"—",COUNTIF($F210:$F219,AK$9))</f>
        <v>2</v>
      </c>
    </row>
    <row r="211" spans="1:37" ht="15.75" customHeight="1" thickBot="1">
      <c r="A211" s="191">
        <v>211</v>
      </c>
      <c r="B211" s="192" t="s">
        <v>196</v>
      </c>
      <c r="C211" s="193">
        <v>29720</v>
      </c>
      <c r="D211" s="194" t="s">
        <v>37</v>
      </c>
      <c r="E211" s="194"/>
      <c r="F211" s="194" t="str">
        <f t="shared" si="3"/>
        <v>ч</v>
      </c>
      <c r="G211" s="192" t="str">
        <f>IF(G210="","",G210)</f>
        <v>м.Кам’янця-Подільського</v>
      </c>
      <c r="H211" s="192" t="str">
        <f>IF(H210="","",H210)</f>
        <v>м.Кам.-Подільський</v>
      </c>
      <c r="I211" s="192">
        <f>IF(I210="","",I210)</f>
      </c>
      <c r="J211" s="377" t="s">
        <v>414</v>
      </c>
      <c r="K211" s="376"/>
      <c r="L211" s="7"/>
      <c r="M211" s="195">
        <v>210</v>
      </c>
      <c r="N211" s="196"/>
      <c r="O211" s="197"/>
      <c r="P211" s="197"/>
      <c r="Q211" s="198"/>
      <c r="R211" s="7"/>
      <c r="S211" s="7"/>
      <c r="T211" s="7"/>
      <c r="U211" s="7"/>
      <c r="V211" s="7"/>
      <c r="W211" s="7"/>
      <c r="X211" s="7"/>
      <c r="AE211" s="189"/>
      <c r="AF211" s="199"/>
      <c r="AG211" s="199"/>
      <c r="AH211" s="199"/>
      <c r="AI211" s="199"/>
      <c r="AJ211" s="199"/>
      <c r="AK211" s="199"/>
    </row>
    <row r="212" spans="1:37" ht="15.75" customHeight="1" thickBot="1">
      <c r="A212" s="191">
        <v>212</v>
      </c>
      <c r="B212" s="222" t="s">
        <v>230</v>
      </c>
      <c r="C212" s="193">
        <v>31810</v>
      </c>
      <c r="D212" s="194" t="s">
        <v>181</v>
      </c>
      <c r="E212" s="194"/>
      <c r="F212" s="194" t="str">
        <f t="shared" si="3"/>
        <v>ч</v>
      </c>
      <c r="G212" s="192" t="str">
        <f>IF(G210="","",G210)</f>
        <v>м.Кам’янця-Подільського</v>
      </c>
      <c r="H212" s="192" t="str">
        <f>IF(H210="","",H210)</f>
        <v>м.Кам.-Подільський</v>
      </c>
      <c r="I212" s="192">
        <f>IF(I210="","",I210)</f>
      </c>
      <c r="J212" s="378" t="s">
        <v>414</v>
      </c>
      <c r="K212" s="376"/>
      <c r="L212" s="7"/>
      <c r="M212" s="7"/>
      <c r="N212" s="200">
        <v>210</v>
      </c>
      <c r="O212" s="201"/>
      <c r="P212" s="202"/>
      <c r="Q212" s="202"/>
      <c r="R212" s="203"/>
      <c r="S212" s="7"/>
      <c r="T212" s="7"/>
      <c r="U212" s="7"/>
      <c r="V212" s="7"/>
      <c r="W212" s="7"/>
      <c r="X212" s="7"/>
      <c r="AE212" s="189"/>
      <c r="AF212" s="199"/>
      <c r="AG212" s="199"/>
      <c r="AH212" s="199"/>
      <c r="AI212" s="199"/>
      <c r="AJ212" s="199"/>
      <c r="AK212" s="199"/>
    </row>
    <row r="213" spans="1:37" ht="15.75" customHeight="1" thickBot="1">
      <c r="A213" s="191">
        <v>213</v>
      </c>
      <c r="B213" s="222" t="s">
        <v>321</v>
      </c>
      <c r="C213" s="193">
        <v>29235</v>
      </c>
      <c r="D213" s="223" t="s">
        <v>37</v>
      </c>
      <c r="E213" s="194"/>
      <c r="F213" s="194" t="str">
        <f t="shared" si="3"/>
        <v>ч</v>
      </c>
      <c r="G213" s="192" t="str">
        <f>IF(G210="","",G210)</f>
        <v>м.Кам’янця-Подільського</v>
      </c>
      <c r="H213" s="192" t="str">
        <f>IF(H210="","",H210)</f>
        <v>м.Кам.-Подільський</v>
      </c>
      <c r="I213" s="192">
        <f>IF(I210="","",I210)</f>
      </c>
      <c r="J213" s="378" t="s">
        <v>414</v>
      </c>
      <c r="K213" s="376"/>
      <c r="L213" s="7"/>
      <c r="M213" s="7"/>
      <c r="N213" s="204" t="s">
        <v>215</v>
      </c>
      <c r="O213" s="204">
        <v>210</v>
      </c>
      <c r="P213" s="205">
        <v>212</v>
      </c>
      <c r="Q213" s="205">
        <v>215</v>
      </c>
      <c r="R213" s="205">
        <v>214</v>
      </c>
      <c r="S213" s="205">
        <v>216</v>
      </c>
      <c r="T213" s="205">
        <v>213</v>
      </c>
      <c r="U213" s="206">
        <v>211</v>
      </c>
      <c r="V213" s="7"/>
      <c r="W213" s="7"/>
      <c r="X213" s="7"/>
      <c r="AE213" s="189"/>
      <c r="AF213" s="199"/>
      <c r="AG213" s="199"/>
      <c r="AH213" s="199"/>
      <c r="AI213" s="199"/>
      <c r="AJ213" s="199"/>
      <c r="AK213" s="199"/>
    </row>
    <row r="214" spans="1:37" ht="15.75" customHeight="1" thickBot="1">
      <c r="A214" s="191">
        <v>214</v>
      </c>
      <c r="B214" s="222" t="s">
        <v>195</v>
      </c>
      <c r="C214" s="193">
        <v>30054</v>
      </c>
      <c r="D214" s="194" t="s">
        <v>37</v>
      </c>
      <c r="E214" s="194"/>
      <c r="F214" s="194" t="str">
        <f t="shared" si="3"/>
        <v>ч</v>
      </c>
      <c r="G214" s="192" t="str">
        <f>IF(G210="","",G210)</f>
        <v>м.Кам’янця-Подільського</v>
      </c>
      <c r="H214" s="192" t="str">
        <f>IF(H210="","",H210)</f>
        <v>м.Кам.-Подільський</v>
      </c>
      <c r="I214" s="192">
        <f>IF(I210="","",I210)</f>
      </c>
      <c r="J214" s="378" t="s">
        <v>414</v>
      </c>
      <c r="K214" s="376"/>
      <c r="L214" s="7"/>
      <c r="M214" s="7"/>
      <c r="N214" s="7"/>
      <c r="O214" s="275"/>
      <c r="P214" s="275">
        <v>210</v>
      </c>
      <c r="Q214" s="276"/>
      <c r="R214" s="276"/>
      <c r="S214" s="276"/>
      <c r="T214" s="276"/>
      <c r="U214" s="276"/>
      <c r="V214" s="277"/>
      <c r="W214" s="7"/>
      <c r="X214" s="7"/>
      <c r="AE214" s="189"/>
      <c r="AF214" s="199"/>
      <c r="AG214" s="199"/>
      <c r="AH214" s="199"/>
      <c r="AI214" s="199"/>
      <c r="AJ214" s="199"/>
      <c r="AK214" s="199"/>
    </row>
    <row r="215" spans="1:37" ht="15.75" customHeight="1" thickBot="1">
      <c r="A215" s="191">
        <v>215</v>
      </c>
      <c r="B215" s="222" t="s">
        <v>412</v>
      </c>
      <c r="C215" s="193">
        <v>29135</v>
      </c>
      <c r="D215" s="223" t="s">
        <v>85</v>
      </c>
      <c r="E215" s="194"/>
      <c r="F215" s="194" t="str">
        <f t="shared" si="3"/>
        <v>ж</v>
      </c>
      <c r="G215" s="192" t="str">
        <f>IF(G210="","",G210)</f>
        <v>м.Кам’янця-Подільського</v>
      </c>
      <c r="H215" s="192" t="str">
        <f>IF(H210="","",H210)</f>
        <v>м.Кам.-Подільський</v>
      </c>
      <c r="I215" s="192">
        <f>IF(I210="","",I210)</f>
      </c>
      <c r="J215" s="378" t="s">
        <v>414</v>
      </c>
      <c r="K215" s="376"/>
      <c r="L215" s="7"/>
      <c r="M215" s="7"/>
      <c r="N215" s="7"/>
      <c r="O215" s="7"/>
      <c r="P215" s="207" t="s">
        <v>106</v>
      </c>
      <c r="Q215" s="207">
        <v>210</v>
      </c>
      <c r="R215" s="208"/>
      <c r="S215" s="208"/>
      <c r="T215" s="208"/>
      <c r="U215" s="208"/>
      <c r="V215" s="209"/>
      <c r="W215" s="208"/>
      <c r="X215" s="7"/>
      <c r="AE215" s="189"/>
      <c r="AF215" s="199"/>
      <c r="AG215" s="199"/>
      <c r="AH215" s="199"/>
      <c r="AI215" s="199"/>
      <c r="AJ215" s="199"/>
      <c r="AK215" s="199"/>
    </row>
    <row r="216" spans="1:37" ht="15.75" customHeight="1">
      <c r="A216" s="191">
        <v>216</v>
      </c>
      <c r="B216" s="222" t="s">
        <v>413</v>
      </c>
      <c r="C216" s="193">
        <v>28770</v>
      </c>
      <c r="D216" s="223" t="s">
        <v>37</v>
      </c>
      <c r="E216" s="194"/>
      <c r="F216" s="194" t="str">
        <f t="shared" si="3"/>
        <v>ж</v>
      </c>
      <c r="G216" s="192" t="str">
        <f>IF(G210="","",G210)</f>
        <v>м.Кам’янця-Подільського</v>
      </c>
      <c r="H216" s="192" t="str">
        <f>IF(H210="","",H210)</f>
        <v>м.Кам.-Подільський</v>
      </c>
      <c r="I216" s="192">
        <f>IF(I210="","",I210)</f>
      </c>
      <c r="J216" s="378" t="s">
        <v>414</v>
      </c>
      <c r="K216" s="376"/>
      <c r="L216" s="7"/>
      <c r="M216" s="7"/>
      <c r="N216" s="7"/>
      <c r="O216" s="7"/>
      <c r="P216" s="7"/>
      <c r="Q216" s="207" t="s">
        <v>107</v>
      </c>
      <c r="R216" s="207">
        <v>210</v>
      </c>
      <c r="S216" s="208"/>
      <c r="T216" s="208"/>
      <c r="U216" s="208"/>
      <c r="V216" s="208"/>
      <c r="W216" s="209"/>
      <c r="X216" s="208"/>
      <c r="AE216" s="189"/>
      <c r="AF216" s="199"/>
      <c r="AG216" s="199"/>
      <c r="AH216" s="199"/>
      <c r="AI216" s="199"/>
      <c r="AJ216" s="199"/>
      <c r="AK216" s="199"/>
    </row>
    <row r="217" spans="1:37" ht="15.75" customHeight="1">
      <c r="A217" s="191">
        <v>217</v>
      </c>
      <c r="B217" s="222"/>
      <c r="C217" s="193"/>
      <c r="D217" s="223"/>
      <c r="E217" s="194"/>
      <c r="F217" s="194">
        <f t="shared" si="3"/>
      </c>
      <c r="G217" s="192" t="str">
        <f>IF(G210="","",G210)</f>
        <v>м.Кам’янця-Подільського</v>
      </c>
      <c r="H217" s="192" t="str">
        <f>IF(H210="","",H210)</f>
        <v>м.Кам.-Подільський</v>
      </c>
      <c r="I217" s="192">
        <f>IF(I210="","",I210)</f>
      </c>
      <c r="J217" s="378"/>
      <c r="K217" s="376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AE217" s="189"/>
      <c r="AF217" s="199"/>
      <c r="AG217" s="199"/>
      <c r="AH217" s="199"/>
      <c r="AI217" s="199"/>
      <c r="AJ217" s="199"/>
      <c r="AK217" s="199"/>
    </row>
    <row r="218" spans="1:37" ht="15.75" customHeight="1">
      <c r="A218" s="191">
        <v>218</v>
      </c>
      <c r="B218" s="192"/>
      <c r="C218" s="193"/>
      <c r="D218" s="194"/>
      <c r="E218" s="194"/>
      <c r="F218" s="194">
        <f t="shared" si="3"/>
      </c>
      <c r="G218" s="192" t="str">
        <f>IF(G210="","",G210)</f>
        <v>м.Кам’янця-Подільського</v>
      </c>
      <c r="H218" s="192" t="str">
        <f>IF(H210="","",H210)</f>
        <v>м.Кам.-Подільський</v>
      </c>
      <c r="I218" s="192">
        <f>IF(I210="","",I210)</f>
      </c>
      <c r="J218" s="378"/>
      <c r="K218" s="376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AE218" s="189"/>
      <c r="AF218" s="199"/>
      <c r="AG218" s="199"/>
      <c r="AH218" s="199"/>
      <c r="AI218" s="199"/>
      <c r="AJ218" s="199"/>
      <c r="AK218" s="199"/>
    </row>
    <row r="219" spans="1:37" ht="15.75" customHeight="1" thickBot="1">
      <c r="A219" s="191">
        <v>219</v>
      </c>
      <c r="B219" s="192"/>
      <c r="C219" s="193"/>
      <c r="D219" s="194"/>
      <c r="E219" s="194"/>
      <c r="F219" s="194">
        <f t="shared" si="3"/>
      </c>
      <c r="G219" s="192" t="str">
        <f>IF(G210="","",G210)</f>
        <v>м.Кам’янця-Подільського</v>
      </c>
      <c r="H219" s="192" t="str">
        <f>IF(H210="","",H210)</f>
        <v>м.Кам.-Подільський</v>
      </c>
      <c r="I219" s="192">
        <f>IF(I210="","",I210)</f>
      </c>
      <c r="J219" s="378"/>
      <c r="K219" s="376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AE219" s="189"/>
      <c r="AF219" s="199"/>
      <c r="AG219" s="199"/>
      <c r="AH219" s="199"/>
      <c r="AI219" s="199"/>
      <c r="AJ219" s="199"/>
      <c r="AK219" s="199"/>
    </row>
    <row r="220" spans="1:37" ht="15.75" customHeight="1" thickBot="1">
      <c r="A220" s="180">
        <v>220</v>
      </c>
      <c r="B220" s="181"/>
      <c r="C220" s="182"/>
      <c r="D220" s="183"/>
      <c r="E220" s="183"/>
      <c r="F220" s="183">
        <f t="shared" si="3"/>
      </c>
      <c r="G220" s="181" t="s">
        <v>199</v>
      </c>
      <c r="H220" s="181" t="s">
        <v>33</v>
      </c>
      <c r="I220" s="181"/>
      <c r="J220" s="375"/>
      <c r="K220" s="376"/>
      <c r="L220" s="184">
        <v>220</v>
      </c>
      <c r="M220" s="185"/>
      <c r="N220" s="186"/>
      <c r="O220" s="186"/>
      <c r="P220" s="187"/>
      <c r="Q220" s="7"/>
      <c r="R220" s="7"/>
      <c r="AE220" s="189" t="str">
        <f>IF(COUNTIF($D220:$D229,AE$9)=0,"—",COUNTIF($D220:$D229,AE$9))</f>
        <v>—</v>
      </c>
      <c r="AF220" s="189" t="str">
        <f>IF(COUNTIF($D220:$D229,AF$9)=0,"—",COUNTIF($D220:$D229,AF$9))</f>
        <v>—</v>
      </c>
      <c r="AG220" s="189" t="str">
        <f>IF(COUNTIF($D220:$D229,AG$9)=0,"—",COUNTIF($D220:$D229,AG$9))</f>
        <v>—</v>
      </c>
      <c r="AH220" s="189" t="str">
        <f>IF(COUNTIF($D220:$D229,AH$9)=0,"—",COUNTIF($D220:$D229,AH$9))</f>
        <v>—</v>
      </c>
      <c r="AI220" s="189" t="str">
        <f>IF(COUNTIF($D220:$D229,AI$9)=0,"—",COUNTIF($D220:$D229,AI$9))</f>
        <v>—</v>
      </c>
      <c r="AJ220" s="189">
        <f>IF(COUNTIF($F220:$F229,AJ$9)=0,"—",COUNTIF($F220:$F229,AJ$9))</f>
        <v>4</v>
      </c>
      <c r="AK220" s="189">
        <f>IF(COUNTIF($F220:$F229,AK$9)=0,"—",COUNTIF($F220:$F229,AK$9))</f>
        <v>3</v>
      </c>
    </row>
    <row r="221" spans="1:37" ht="15.75" customHeight="1" thickBot="1">
      <c r="A221" s="191">
        <v>221</v>
      </c>
      <c r="B221" s="222" t="s">
        <v>314</v>
      </c>
      <c r="C221" s="193">
        <v>25262</v>
      </c>
      <c r="D221" s="223" t="s">
        <v>181</v>
      </c>
      <c r="E221" s="194"/>
      <c r="F221" s="194" t="str">
        <f t="shared" si="3"/>
        <v>ч</v>
      </c>
      <c r="G221" s="192" t="str">
        <f>IF(G220="","",G220)</f>
        <v>м. Нетішина</v>
      </c>
      <c r="H221" s="192" t="str">
        <f>IF(H220="","",H220)</f>
        <v>м.Нетішин</v>
      </c>
      <c r="I221" s="192">
        <f>IF(I220="","",I220)</f>
      </c>
      <c r="J221" s="377" t="s">
        <v>393</v>
      </c>
      <c r="K221" s="376"/>
      <c r="L221" s="7"/>
      <c r="M221" s="195">
        <v>220</v>
      </c>
      <c r="N221" s="196"/>
      <c r="O221" s="197"/>
      <c r="P221" s="197"/>
      <c r="Q221" s="198"/>
      <c r="R221" s="7"/>
      <c r="S221" s="7"/>
      <c r="T221" s="7"/>
      <c r="U221" s="7"/>
      <c r="V221" s="7"/>
      <c r="W221" s="7"/>
      <c r="X221" s="7"/>
      <c r="AE221" s="189"/>
      <c r="AF221" s="199"/>
      <c r="AG221" s="199"/>
      <c r="AH221" s="199"/>
      <c r="AI221" s="199"/>
      <c r="AJ221" s="199"/>
      <c r="AK221" s="199"/>
    </row>
    <row r="222" spans="1:37" ht="15.75" customHeight="1" thickBot="1">
      <c r="A222" s="191">
        <v>222</v>
      </c>
      <c r="B222" s="222" t="s">
        <v>394</v>
      </c>
      <c r="C222" s="193">
        <v>27478</v>
      </c>
      <c r="D222" s="194" t="s">
        <v>181</v>
      </c>
      <c r="E222" s="194"/>
      <c r="F222" s="194" t="str">
        <f t="shared" si="3"/>
        <v>ж</v>
      </c>
      <c r="G222" s="192" t="str">
        <f>IF(G220="","",G220)</f>
        <v>м. Нетішина</v>
      </c>
      <c r="H222" s="192" t="str">
        <f>IF(H220="","",H220)</f>
        <v>м.Нетішин</v>
      </c>
      <c r="I222" s="192">
        <f>IF(I220="","",I220)</f>
      </c>
      <c r="J222" s="377" t="s">
        <v>393</v>
      </c>
      <c r="K222" s="376"/>
      <c r="L222" s="7"/>
      <c r="M222" s="7"/>
      <c r="N222" s="200">
        <v>220</v>
      </c>
      <c r="O222" s="201"/>
      <c r="P222" s="202"/>
      <c r="Q222" s="202"/>
      <c r="R222" s="203"/>
      <c r="S222" s="7"/>
      <c r="T222" s="7"/>
      <c r="U222" s="7"/>
      <c r="V222" s="7"/>
      <c r="W222" s="7"/>
      <c r="X222" s="7"/>
      <c r="AE222" s="189"/>
      <c r="AF222" s="199"/>
      <c r="AG222" s="199"/>
      <c r="AH222" s="199"/>
      <c r="AI222" s="199"/>
      <c r="AJ222" s="199"/>
      <c r="AK222" s="199"/>
    </row>
    <row r="223" spans="1:37" ht="15.75" customHeight="1" thickBot="1">
      <c r="A223" s="191">
        <v>223</v>
      </c>
      <c r="B223" s="222" t="s">
        <v>197</v>
      </c>
      <c r="C223" s="193">
        <v>30281</v>
      </c>
      <c r="D223" s="194" t="s">
        <v>181</v>
      </c>
      <c r="E223" s="194"/>
      <c r="F223" s="194" t="str">
        <f t="shared" si="3"/>
        <v>ч</v>
      </c>
      <c r="G223" s="192" t="str">
        <f>IF(G220="","",G220)</f>
        <v>м. Нетішина</v>
      </c>
      <c r="H223" s="192" t="str">
        <f>IF(H220="","",H220)</f>
        <v>м.Нетішин</v>
      </c>
      <c r="I223" s="192">
        <f>IF(I220="","",I220)</f>
      </c>
      <c r="J223" s="378" t="s">
        <v>393</v>
      </c>
      <c r="K223" s="376"/>
      <c r="L223" s="7"/>
      <c r="M223" s="7"/>
      <c r="N223" s="204" t="s">
        <v>215</v>
      </c>
      <c r="O223" s="204">
        <v>220</v>
      </c>
      <c r="P223" s="205">
        <v>226</v>
      </c>
      <c r="Q223" s="205">
        <v>227</v>
      </c>
      <c r="R223" s="205">
        <v>224</v>
      </c>
      <c r="S223" s="205">
        <v>223</v>
      </c>
      <c r="T223" s="205">
        <v>221</v>
      </c>
      <c r="U223" s="206">
        <v>222</v>
      </c>
      <c r="V223" s="7"/>
      <c r="W223" s="7"/>
      <c r="X223" s="7"/>
      <c r="AE223" s="189"/>
      <c r="AF223" s="199"/>
      <c r="AG223" s="199"/>
      <c r="AH223" s="199"/>
      <c r="AI223" s="199"/>
      <c r="AJ223" s="199"/>
      <c r="AK223" s="199"/>
    </row>
    <row r="224" spans="1:37" ht="15.75" customHeight="1" thickBot="1">
      <c r="A224" s="191">
        <v>224</v>
      </c>
      <c r="B224" s="222" t="s">
        <v>198</v>
      </c>
      <c r="C224" s="193">
        <v>26618</v>
      </c>
      <c r="D224" s="194" t="s">
        <v>181</v>
      </c>
      <c r="E224" s="194"/>
      <c r="F224" s="194" t="str">
        <f t="shared" si="3"/>
        <v>ж</v>
      </c>
      <c r="G224" s="192" t="str">
        <f>IF(G220="","",G220)</f>
        <v>м. Нетішина</v>
      </c>
      <c r="H224" s="192" t="str">
        <f>IF(H220="","",H220)</f>
        <v>м.Нетішин</v>
      </c>
      <c r="I224" s="192">
        <f>IF(I220="","",I220)</f>
      </c>
      <c r="J224" s="378" t="s">
        <v>393</v>
      </c>
      <c r="K224" s="376"/>
      <c r="L224" s="7"/>
      <c r="M224" s="7"/>
      <c r="N224" s="7"/>
      <c r="O224" s="275"/>
      <c r="P224" s="275">
        <v>220</v>
      </c>
      <c r="Q224" s="276"/>
      <c r="R224" s="276"/>
      <c r="S224" s="276"/>
      <c r="T224" s="276"/>
      <c r="U224" s="276"/>
      <c r="V224" s="277"/>
      <c r="W224" s="7"/>
      <c r="X224" s="7"/>
      <c r="AE224" s="189"/>
      <c r="AF224" s="199"/>
      <c r="AG224" s="199"/>
      <c r="AH224" s="199"/>
      <c r="AI224" s="199"/>
      <c r="AJ224" s="199"/>
      <c r="AK224" s="199"/>
    </row>
    <row r="225" spans="1:37" ht="15.75" customHeight="1" thickBot="1">
      <c r="A225" s="191">
        <v>225</v>
      </c>
      <c r="B225" s="222" t="s">
        <v>224</v>
      </c>
      <c r="C225" s="193">
        <v>29871</v>
      </c>
      <c r="D225" s="194" t="s">
        <v>181</v>
      </c>
      <c r="E225" s="194"/>
      <c r="F225" s="194" t="str">
        <f t="shared" si="3"/>
        <v>ж</v>
      </c>
      <c r="G225" s="192" t="str">
        <f>IF(G220="","",G220)</f>
        <v>м. Нетішина</v>
      </c>
      <c r="H225" s="192" t="str">
        <f>IF(H220="","",H220)</f>
        <v>м.Нетішин</v>
      </c>
      <c r="I225" s="192">
        <f>IF(I220="","",I220)</f>
      </c>
      <c r="J225" s="378" t="s">
        <v>393</v>
      </c>
      <c r="K225" s="376"/>
      <c r="L225" s="7"/>
      <c r="M225" s="7"/>
      <c r="N225" s="7"/>
      <c r="O225" s="7"/>
      <c r="P225" s="207" t="s">
        <v>106</v>
      </c>
      <c r="Q225" s="207">
        <v>220</v>
      </c>
      <c r="R225" s="208"/>
      <c r="S225" s="208"/>
      <c r="T225" s="208"/>
      <c r="U225" s="208"/>
      <c r="V225" s="209"/>
      <c r="W225" s="208"/>
      <c r="X225" s="7"/>
      <c r="AE225" s="189"/>
      <c r="AF225" s="199"/>
      <c r="AG225" s="199"/>
      <c r="AH225" s="199"/>
      <c r="AI225" s="199"/>
      <c r="AJ225" s="199"/>
      <c r="AK225" s="199"/>
    </row>
    <row r="226" spans="1:37" ht="15.75" customHeight="1">
      <c r="A226" s="191">
        <v>226</v>
      </c>
      <c r="B226" s="192" t="s">
        <v>229</v>
      </c>
      <c r="C226" s="193">
        <v>33978</v>
      </c>
      <c r="D226" s="223" t="s">
        <v>181</v>
      </c>
      <c r="E226" s="194"/>
      <c r="F226" s="194" t="str">
        <f t="shared" si="3"/>
        <v>ч</v>
      </c>
      <c r="G226" s="192" t="str">
        <f>IF(G220="","",G220)</f>
        <v>м. Нетішина</v>
      </c>
      <c r="H226" s="192" t="str">
        <f>IF(H220="","",H220)</f>
        <v>м.Нетішин</v>
      </c>
      <c r="I226" s="192">
        <f>IF(I220="","",I220)</f>
      </c>
      <c r="J226" s="378" t="s">
        <v>393</v>
      </c>
      <c r="K226" s="376"/>
      <c r="L226" s="7"/>
      <c r="M226" s="7"/>
      <c r="N226" s="7"/>
      <c r="O226" s="7"/>
      <c r="P226" s="7"/>
      <c r="Q226" s="207" t="s">
        <v>107</v>
      </c>
      <c r="R226" s="207">
        <v>220</v>
      </c>
      <c r="S226" s="208"/>
      <c r="T226" s="208"/>
      <c r="U226" s="208"/>
      <c r="V226" s="208"/>
      <c r="W226" s="209"/>
      <c r="X226" s="208"/>
      <c r="AE226" s="189"/>
      <c r="AF226" s="199"/>
      <c r="AG226" s="199"/>
      <c r="AH226" s="199"/>
      <c r="AI226" s="199"/>
      <c r="AJ226" s="199"/>
      <c r="AK226" s="199"/>
    </row>
    <row r="227" spans="1:37" ht="15.75" customHeight="1">
      <c r="A227" s="191">
        <v>227</v>
      </c>
      <c r="B227" s="222" t="s">
        <v>225</v>
      </c>
      <c r="C227" s="193">
        <v>34513</v>
      </c>
      <c r="D227" s="223" t="s">
        <v>181</v>
      </c>
      <c r="E227" s="194"/>
      <c r="F227" s="194" t="str">
        <f t="shared" si="3"/>
        <v>ч</v>
      </c>
      <c r="G227" s="192" t="str">
        <f>IF(G220="","",G220)</f>
        <v>м. Нетішина</v>
      </c>
      <c r="H227" s="192" t="str">
        <f>IF(H220="","",H220)</f>
        <v>м.Нетішин</v>
      </c>
      <c r="I227" s="192">
        <f>IF(I220="","",I220)</f>
      </c>
      <c r="J227" s="378" t="s">
        <v>393</v>
      </c>
      <c r="K227" s="376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AE227" s="189"/>
      <c r="AF227" s="199"/>
      <c r="AG227" s="199"/>
      <c r="AH227" s="199"/>
      <c r="AI227" s="199"/>
      <c r="AJ227" s="199"/>
      <c r="AK227" s="199"/>
    </row>
    <row r="228" spans="1:37" ht="15.75" customHeight="1">
      <c r="A228" s="191">
        <v>228</v>
      </c>
      <c r="B228" s="222"/>
      <c r="C228" s="193"/>
      <c r="D228" s="223"/>
      <c r="E228" s="194"/>
      <c r="F228" s="194">
        <f t="shared" si="3"/>
      </c>
      <c r="G228" s="192" t="str">
        <f>IF(G220="","",G220)</f>
        <v>м. Нетішина</v>
      </c>
      <c r="H228" s="192" t="str">
        <f>IF(H220="","",H220)</f>
        <v>м.Нетішин</v>
      </c>
      <c r="I228" s="192">
        <f>IF(I220="","",I220)</f>
      </c>
      <c r="J228" s="378"/>
      <c r="K228" s="376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AE228" s="189"/>
      <c r="AF228" s="199"/>
      <c r="AG228" s="199"/>
      <c r="AH228" s="199"/>
      <c r="AI228" s="199"/>
      <c r="AJ228" s="199"/>
      <c r="AK228" s="199"/>
    </row>
    <row r="229" spans="1:37" ht="15.75" customHeight="1" thickBot="1">
      <c r="A229" s="191">
        <v>229</v>
      </c>
      <c r="B229" s="192"/>
      <c r="C229" s="193"/>
      <c r="D229" s="194"/>
      <c r="E229" s="194"/>
      <c r="F229" s="194">
        <f t="shared" si="3"/>
      </c>
      <c r="G229" s="192" t="str">
        <f>IF(G220="","",G220)</f>
        <v>м. Нетішина</v>
      </c>
      <c r="H229" s="192" t="str">
        <f>IF(H220="","",H220)</f>
        <v>м.Нетішин</v>
      </c>
      <c r="I229" s="192">
        <f>IF(I220="","",I220)</f>
      </c>
      <c r="J229" s="378"/>
      <c r="K229" s="376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AE229" s="189"/>
      <c r="AF229" s="199"/>
      <c r="AG229" s="199"/>
      <c r="AH229" s="199"/>
      <c r="AI229" s="199"/>
      <c r="AJ229" s="199"/>
      <c r="AK229" s="199"/>
    </row>
    <row r="230" spans="1:37" ht="15.75" customHeight="1" thickBot="1">
      <c r="A230" s="180">
        <v>230</v>
      </c>
      <c r="B230" s="181"/>
      <c r="C230" s="182"/>
      <c r="D230" s="183"/>
      <c r="E230" s="183"/>
      <c r="F230" s="183">
        <f t="shared" si="3"/>
      </c>
      <c r="G230" s="181" t="s">
        <v>89</v>
      </c>
      <c r="H230" s="181" t="s">
        <v>67</v>
      </c>
      <c r="I230" s="181"/>
      <c r="J230" s="375"/>
      <c r="K230" s="376"/>
      <c r="L230" s="184">
        <v>230</v>
      </c>
      <c r="M230" s="185"/>
      <c r="N230" s="186"/>
      <c r="O230" s="186"/>
      <c r="P230" s="187"/>
      <c r="Q230" s="7"/>
      <c r="R230" s="7"/>
      <c r="AE230" s="189">
        <f>IF(COUNTIF($D230:$D239,AE$9)=0,"—",COUNTIF($D230:$D239,AE$9))</f>
        <v>1</v>
      </c>
      <c r="AF230" s="189">
        <f>IF(COUNTIF($D230:$D239,AF$9)=0,"—",COUNTIF($D230:$D239,AF$9))</f>
        <v>1</v>
      </c>
      <c r="AG230" s="189">
        <f>IF(COUNTIF($D230:$D239,AG$9)=0,"—",COUNTIF($D230:$D239,AG$9))</f>
        <v>6</v>
      </c>
      <c r="AH230" s="189" t="str">
        <f>IF(COUNTIF($D230:$D239,AH$9)=0,"—",COUNTIF($D230:$D239,AH$9))</f>
        <v>—</v>
      </c>
      <c r="AI230" s="189" t="str">
        <f>IF(COUNTIF($D230:$D239,AI$9)=0,"—",COUNTIF($D230:$D239,AI$9))</f>
        <v>—</v>
      </c>
      <c r="AJ230" s="189">
        <f>IF(COUNTIF($F230:$F239,AJ$9)=0,"—",COUNTIF($F230:$F239,AJ$9))</f>
        <v>6</v>
      </c>
      <c r="AK230" s="189">
        <f>IF(COUNTIF($F230:$F239,AK$9)=0,"—",COUNTIF($F230:$F239,AK$9))</f>
        <v>2</v>
      </c>
    </row>
    <row r="231" spans="1:37" ht="15.75" customHeight="1" thickBot="1">
      <c r="A231" s="191">
        <v>231</v>
      </c>
      <c r="B231" s="192" t="s">
        <v>184</v>
      </c>
      <c r="C231" s="193">
        <v>31208</v>
      </c>
      <c r="D231" s="223" t="s">
        <v>70</v>
      </c>
      <c r="E231" s="194"/>
      <c r="F231" s="194" t="str">
        <f t="shared" si="3"/>
        <v>ч</v>
      </c>
      <c r="G231" s="192" t="str">
        <f>IF(G230="","",G230)</f>
        <v>м.Славути</v>
      </c>
      <c r="H231" s="192" t="str">
        <f>IF(H230="","",H230)</f>
        <v>м.Славута</v>
      </c>
      <c r="I231" s="192">
        <f>IF(I230="","",I230)</f>
      </c>
      <c r="J231" s="378" t="s">
        <v>91</v>
      </c>
      <c r="K231" s="376"/>
      <c r="L231" s="7"/>
      <c r="M231" s="195">
        <v>230</v>
      </c>
      <c r="N231" s="196"/>
      <c r="O231" s="197"/>
      <c r="P231" s="197"/>
      <c r="Q231" s="198"/>
      <c r="R231" s="7"/>
      <c r="S231" s="7"/>
      <c r="T231" s="7"/>
      <c r="U231" s="7"/>
      <c r="V231" s="7"/>
      <c r="W231" s="7"/>
      <c r="X231" s="7"/>
      <c r="AE231" s="189"/>
      <c r="AF231" s="199"/>
      <c r="AG231" s="199"/>
      <c r="AH231" s="199"/>
      <c r="AI231" s="199"/>
      <c r="AJ231" s="199"/>
      <c r="AK231" s="199"/>
    </row>
    <row r="232" spans="1:37" ht="15.75" customHeight="1" thickBot="1">
      <c r="A232" s="191">
        <v>232</v>
      </c>
      <c r="B232" s="222" t="s">
        <v>377</v>
      </c>
      <c r="C232" s="193">
        <v>30849</v>
      </c>
      <c r="D232" s="223" t="s">
        <v>70</v>
      </c>
      <c r="E232" s="194"/>
      <c r="F232" s="194" t="str">
        <f t="shared" si="3"/>
        <v>ч</v>
      </c>
      <c r="G232" s="192" t="str">
        <f>IF(G230="","",G230)</f>
        <v>м.Славути</v>
      </c>
      <c r="H232" s="192" t="str">
        <f>IF(H230="","",H230)</f>
        <v>м.Славута</v>
      </c>
      <c r="I232" s="192">
        <f>IF(I230="","",I230)</f>
      </c>
      <c r="J232" s="378" t="s">
        <v>91</v>
      </c>
      <c r="K232" s="376"/>
      <c r="L232" s="7"/>
      <c r="M232" s="7"/>
      <c r="N232" s="200">
        <v>230</v>
      </c>
      <c r="O232" s="201"/>
      <c r="P232" s="202"/>
      <c r="Q232" s="202"/>
      <c r="R232" s="203"/>
      <c r="S232" s="7"/>
      <c r="T232" s="7"/>
      <c r="U232" s="7"/>
      <c r="V232" s="7"/>
      <c r="W232" s="7"/>
      <c r="X232" s="7"/>
      <c r="AE232" s="189"/>
      <c r="AF232" s="199"/>
      <c r="AG232" s="199"/>
      <c r="AH232" s="199"/>
      <c r="AI232" s="199"/>
      <c r="AJ232" s="199"/>
      <c r="AK232" s="199"/>
    </row>
    <row r="233" spans="1:37" ht="15.75" customHeight="1" thickBot="1">
      <c r="A233" s="191">
        <v>233</v>
      </c>
      <c r="B233" s="222" t="s">
        <v>379</v>
      </c>
      <c r="C233" s="193">
        <v>34881</v>
      </c>
      <c r="D233" s="223" t="s">
        <v>70</v>
      </c>
      <c r="E233" s="194"/>
      <c r="F233" s="194" t="str">
        <f t="shared" si="3"/>
        <v>ч</v>
      </c>
      <c r="G233" s="192" t="str">
        <f>IF(G230="","",G230)</f>
        <v>м.Славути</v>
      </c>
      <c r="H233" s="192" t="str">
        <f>IF(H230="","",H230)</f>
        <v>м.Славута</v>
      </c>
      <c r="I233" s="192">
        <f>IF(I230="","",I230)</f>
      </c>
      <c r="J233" s="378" t="s">
        <v>91</v>
      </c>
      <c r="K233" s="376"/>
      <c r="L233" s="7"/>
      <c r="M233" s="7"/>
      <c r="N233" s="204" t="s">
        <v>215</v>
      </c>
      <c r="O233" s="204">
        <v>230</v>
      </c>
      <c r="P233" s="205">
        <v>233</v>
      </c>
      <c r="Q233" s="205">
        <v>235</v>
      </c>
      <c r="R233" s="205">
        <v>232</v>
      </c>
      <c r="S233" s="205">
        <v>236</v>
      </c>
      <c r="T233" s="205">
        <v>234</v>
      </c>
      <c r="U233" s="206">
        <v>231</v>
      </c>
      <c r="V233" s="7"/>
      <c r="W233" s="7"/>
      <c r="X233" s="7"/>
      <c r="AE233" s="189"/>
      <c r="AF233" s="199"/>
      <c r="AG233" s="199"/>
      <c r="AH233" s="199"/>
      <c r="AI233" s="199"/>
      <c r="AJ233" s="199"/>
      <c r="AK233" s="199"/>
    </row>
    <row r="234" spans="1:37" ht="15.75" customHeight="1" thickBot="1">
      <c r="A234" s="191">
        <v>234</v>
      </c>
      <c r="B234" s="222" t="s">
        <v>319</v>
      </c>
      <c r="C234" s="193">
        <v>32980</v>
      </c>
      <c r="D234" s="223" t="s">
        <v>70</v>
      </c>
      <c r="E234" s="194"/>
      <c r="F234" s="194" t="str">
        <f t="shared" si="3"/>
        <v>ч</v>
      </c>
      <c r="G234" s="192" t="str">
        <f>IF(G230="","",G230)</f>
        <v>м.Славути</v>
      </c>
      <c r="H234" s="192" t="str">
        <f>IF(H230="","",H230)</f>
        <v>м.Славута</v>
      </c>
      <c r="I234" s="192">
        <f>IF(I230="","",I230)</f>
      </c>
      <c r="J234" s="378" t="s">
        <v>91</v>
      </c>
      <c r="K234" s="376"/>
      <c r="L234" s="7"/>
      <c r="M234" s="7"/>
      <c r="N234" s="7"/>
      <c r="O234" s="275"/>
      <c r="P234" s="275">
        <v>230</v>
      </c>
      <c r="Q234" s="276"/>
      <c r="R234" s="276"/>
      <c r="S234" s="276"/>
      <c r="T234" s="276"/>
      <c r="U234" s="276"/>
      <c r="V234" s="277"/>
      <c r="W234" s="7"/>
      <c r="X234" s="7"/>
      <c r="AE234" s="189"/>
      <c r="AF234" s="199"/>
      <c r="AG234" s="199"/>
      <c r="AH234" s="199"/>
      <c r="AI234" s="199"/>
      <c r="AJ234" s="199"/>
      <c r="AK234" s="199"/>
    </row>
    <row r="235" spans="1:37" ht="15.75" customHeight="1" thickBot="1">
      <c r="A235" s="191">
        <v>235</v>
      </c>
      <c r="B235" s="222" t="s">
        <v>183</v>
      </c>
      <c r="C235" s="193">
        <v>33199</v>
      </c>
      <c r="D235" s="223" t="s">
        <v>70</v>
      </c>
      <c r="E235" s="194"/>
      <c r="F235" s="194" t="str">
        <f t="shared" si="3"/>
        <v>ч</v>
      </c>
      <c r="G235" s="192" t="str">
        <f>IF(G230="","",G230)</f>
        <v>м.Славути</v>
      </c>
      <c r="H235" s="192" t="str">
        <f>IF(H230="","",H230)</f>
        <v>м.Славута</v>
      </c>
      <c r="I235" s="192">
        <f>IF(I230="","",I230)</f>
      </c>
      <c r="J235" s="378" t="s">
        <v>91</v>
      </c>
      <c r="K235" s="376"/>
      <c r="L235" s="7"/>
      <c r="M235" s="7"/>
      <c r="N235" s="7"/>
      <c r="O235" s="7"/>
      <c r="P235" s="207" t="s">
        <v>106</v>
      </c>
      <c r="Q235" s="207">
        <v>230</v>
      </c>
      <c r="R235" s="208"/>
      <c r="S235" s="208"/>
      <c r="T235" s="208"/>
      <c r="U235" s="208"/>
      <c r="V235" s="209"/>
      <c r="W235" s="208"/>
      <c r="X235" s="7"/>
      <c r="AE235" s="189"/>
      <c r="AF235" s="199"/>
      <c r="AG235" s="199"/>
      <c r="AH235" s="199"/>
      <c r="AI235" s="199"/>
      <c r="AJ235" s="199"/>
      <c r="AK235" s="199"/>
    </row>
    <row r="236" spans="1:37" ht="15.75" customHeight="1">
      <c r="A236" s="191">
        <v>236</v>
      </c>
      <c r="B236" s="192" t="s">
        <v>182</v>
      </c>
      <c r="C236" s="193">
        <v>32943</v>
      </c>
      <c r="D236" s="223" t="s">
        <v>70</v>
      </c>
      <c r="E236" s="194"/>
      <c r="F236" s="194" t="str">
        <f t="shared" si="3"/>
        <v>ж</v>
      </c>
      <c r="G236" s="192" t="str">
        <f>IF(G230="","",G230)</f>
        <v>м.Славути</v>
      </c>
      <c r="H236" s="192" t="str">
        <f>IF(H230="","",H230)</f>
        <v>м.Славута</v>
      </c>
      <c r="I236" s="192">
        <f>IF(I230="","",I230)</f>
      </c>
      <c r="J236" s="378" t="s">
        <v>91</v>
      </c>
      <c r="K236" s="376"/>
      <c r="L236" s="7"/>
      <c r="M236" s="7"/>
      <c r="N236" s="7"/>
      <c r="O236" s="7"/>
      <c r="P236" s="7"/>
      <c r="Q236" s="207" t="s">
        <v>107</v>
      </c>
      <c r="R236" s="207">
        <v>230</v>
      </c>
      <c r="S236" s="208"/>
      <c r="T236" s="208"/>
      <c r="U236" s="208"/>
      <c r="V236" s="208"/>
      <c r="W236" s="209"/>
      <c r="X236" s="208"/>
      <c r="AE236" s="189"/>
      <c r="AF236" s="199"/>
      <c r="AG236" s="199"/>
      <c r="AH236" s="199"/>
      <c r="AI236" s="199"/>
      <c r="AJ236" s="199"/>
      <c r="AK236" s="199"/>
    </row>
    <row r="237" spans="1:37" ht="15.75" customHeight="1">
      <c r="A237" s="191">
        <v>237</v>
      </c>
      <c r="B237" s="222" t="s">
        <v>378</v>
      </c>
      <c r="C237" s="193">
        <v>32410</v>
      </c>
      <c r="D237" s="223" t="s">
        <v>71</v>
      </c>
      <c r="E237" s="194"/>
      <c r="F237" s="194" t="str">
        <f t="shared" si="3"/>
        <v>ж</v>
      </c>
      <c r="G237" s="192" t="str">
        <f>IF(G230="","",G230)</f>
        <v>м.Славути</v>
      </c>
      <c r="H237" s="192" t="str">
        <f>IF(H230="","",H230)</f>
        <v>м.Славута</v>
      </c>
      <c r="I237" s="192">
        <f>IF(I230="","",I230)</f>
      </c>
      <c r="J237" s="378" t="s">
        <v>91</v>
      </c>
      <c r="K237" s="376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AE237" s="189"/>
      <c r="AF237" s="199"/>
      <c r="AG237" s="199"/>
      <c r="AH237" s="199"/>
      <c r="AI237" s="199"/>
      <c r="AJ237" s="199"/>
      <c r="AK237" s="199"/>
    </row>
    <row r="238" spans="1:37" ht="15.75" customHeight="1">
      <c r="A238" s="191">
        <v>238</v>
      </c>
      <c r="B238" s="222" t="s">
        <v>380</v>
      </c>
      <c r="C238" s="193">
        <v>29520</v>
      </c>
      <c r="D238" s="223" t="s">
        <v>72</v>
      </c>
      <c r="E238" s="194"/>
      <c r="F238" s="194" t="str">
        <f t="shared" si="3"/>
        <v>ч</v>
      </c>
      <c r="G238" s="192" t="str">
        <f>IF(G230="","",G230)</f>
        <v>м.Славути</v>
      </c>
      <c r="H238" s="192" t="str">
        <f>IF(H230="","",H230)</f>
        <v>м.Славута</v>
      </c>
      <c r="I238" s="192">
        <f>IF(I230="","",I230)</f>
      </c>
      <c r="J238" s="378" t="s">
        <v>91</v>
      </c>
      <c r="K238" s="376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AE238" s="189"/>
      <c r="AF238" s="199"/>
      <c r="AG238" s="199"/>
      <c r="AH238" s="199"/>
      <c r="AI238" s="199"/>
      <c r="AJ238" s="199"/>
      <c r="AK238" s="199"/>
    </row>
    <row r="239" spans="1:37" ht="15.75" customHeight="1" thickBot="1">
      <c r="A239" s="191">
        <v>239</v>
      </c>
      <c r="B239" s="192"/>
      <c r="C239" s="193"/>
      <c r="D239" s="194"/>
      <c r="E239" s="194"/>
      <c r="F239" s="194">
        <f t="shared" si="3"/>
      </c>
      <c r="G239" s="192" t="str">
        <f>IF(G230="","",G230)</f>
        <v>м.Славути</v>
      </c>
      <c r="H239" s="192" t="str">
        <f>IF(H230="","",H230)</f>
        <v>м.Славута</v>
      </c>
      <c r="I239" s="192">
        <f>IF(I230="","",I230)</f>
      </c>
      <c r="J239" s="378"/>
      <c r="K239" s="376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AE239" s="189"/>
      <c r="AF239" s="199"/>
      <c r="AG239" s="199"/>
      <c r="AH239" s="199"/>
      <c r="AI239" s="199"/>
      <c r="AJ239" s="199"/>
      <c r="AK239" s="199"/>
    </row>
    <row r="240" spans="1:37" ht="15.75" customHeight="1" thickBot="1">
      <c r="A240" s="180">
        <v>240</v>
      </c>
      <c r="B240" s="181"/>
      <c r="C240" s="182"/>
      <c r="D240" s="183"/>
      <c r="E240" s="183"/>
      <c r="F240" s="183">
        <f t="shared" si="3"/>
      </c>
      <c r="G240" s="239" t="s">
        <v>36</v>
      </c>
      <c r="H240" s="181" t="s">
        <v>36</v>
      </c>
      <c r="I240" s="181"/>
      <c r="J240" s="375"/>
      <c r="K240" s="376"/>
      <c r="L240" s="184">
        <v>240</v>
      </c>
      <c r="M240" s="185"/>
      <c r="N240" s="186"/>
      <c r="O240" s="186"/>
      <c r="P240" s="187"/>
      <c r="Q240" s="7"/>
      <c r="R240" s="7"/>
      <c r="AE240" s="189">
        <f>IF(COUNTIF($D240:$D249,AE$9)=0,"—",COUNTIF($D240:$D249,AE$9))</f>
        <v>1</v>
      </c>
      <c r="AF240" s="189">
        <f>IF(COUNTIF($D240:$D249,AF$9)=0,"—",COUNTIF($D240:$D249,AF$9))</f>
        <v>2</v>
      </c>
      <c r="AG240" s="189" t="str">
        <f>IF(COUNTIF($D240:$D249,AG$9)=0,"—",COUNTIF($D240:$D249,AG$9))</f>
        <v>—</v>
      </c>
      <c r="AH240" s="189" t="str">
        <f>IF(COUNTIF($D240:$D249,AH$9)=0,"—",COUNTIF($D240:$D249,AH$9))</f>
        <v>—</v>
      </c>
      <c r="AI240" s="189" t="str">
        <f>IF(COUNTIF($D240:$D249,AI$9)=0,"—",COUNTIF($D240:$D249,AI$9))</f>
        <v>—</v>
      </c>
      <c r="AJ240" s="189">
        <f>IF(COUNTIF($F240:$F249,AJ$9)=0,"—",COUNTIF($F240:$F249,AJ$9))</f>
        <v>6</v>
      </c>
      <c r="AK240" s="189">
        <f>IF(COUNTIF($F240:$F249,AK$9)=0,"—",COUNTIF($F240:$F249,AK$9))</f>
        <v>2</v>
      </c>
    </row>
    <row r="241" spans="1:37" ht="15.75" customHeight="1" thickBot="1">
      <c r="A241" s="191">
        <v>241</v>
      </c>
      <c r="B241" s="222" t="s">
        <v>290</v>
      </c>
      <c r="C241" s="193">
        <v>31402</v>
      </c>
      <c r="D241" s="223" t="s">
        <v>71</v>
      </c>
      <c r="E241" s="194"/>
      <c r="F241" s="194" t="str">
        <f t="shared" si="3"/>
        <v>ч</v>
      </c>
      <c r="G241" s="192" t="str">
        <f>IF(G240="","",G240)</f>
        <v>м.Старокостянтинів</v>
      </c>
      <c r="H241" s="192" t="str">
        <f>IF(H240="","",H240)</f>
        <v>м.Старокостянтинів</v>
      </c>
      <c r="I241" s="192">
        <f>IF(I240="","",I240)</f>
      </c>
      <c r="J241" s="377" t="s">
        <v>291</v>
      </c>
      <c r="K241" s="376"/>
      <c r="L241" s="7"/>
      <c r="M241" s="195">
        <v>240</v>
      </c>
      <c r="N241" s="196"/>
      <c r="O241" s="197"/>
      <c r="P241" s="197"/>
      <c r="Q241" s="198"/>
      <c r="R241" s="7"/>
      <c r="S241" s="7"/>
      <c r="T241" s="7"/>
      <c r="U241" s="7"/>
      <c r="V241" s="7"/>
      <c r="W241" s="7"/>
      <c r="X241" s="7"/>
      <c r="AE241" s="189"/>
      <c r="AF241" s="199"/>
      <c r="AG241" s="199"/>
      <c r="AH241" s="199"/>
      <c r="AI241" s="199"/>
      <c r="AJ241" s="199"/>
      <c r="AK241" s="199"/>
    </row>
    <row r="242" spans="1:37" ht="15.75" customHeight="1" thickBot="1">
      <c r="A242" s="191">
        <v>242</v>
      </c>
      <c r="B242" s="222" t="s">
        <v>292</v>
      </c>
      <c r="C242" s="193">
        <v>31536</v>
      </c>
      <c r="D242" s="223" t="s">
        <v>71</v>
      </c>
      <c r="E242" s="194"/>
      <c r="F242" s="194" t="str">
        <f t="shared" si="3"/>
        <v>ч</v>
      </c>
      <c r="G242" s="192" t="str">
        <f>IF(G240="","",G240)</f>
        <v>м.Старокостянтинів</v>
      </c>
      <c r="H242" s="192" t="str">
        <f>IF(H240="","",H240)</f>
        <v>м.Старокостянтинів</v>
      </c>
      <c r="I242" s="192">
        <f>IF(I240="","",I240)</f>
      </c>
      <c r="J242" s="377" t="s">
        <v>291</v>
      </c>
      <c r="K242" s="376"/>
      <c r="L242" s="7"/>
      <c r="M242" s="7"/>
      <c r="N242" s="200">
        <v>240</v>
      </c>
      <c r="O242" s="201"/>
      <c r="P242" s="202"/>
      <c r="Q242" s="202"/>
      <c r="R242" s="203"/>
      <c r="S242" s="7"/>
      <c r="T242" s="7"/>
      <c r="U242" s="7"/>
      <c r="V242" s="7"/>
      <c r="W242" s="7"/>
      <c r="X242" s="7"/>
      <c r="AE242" s="189"/>
      <c r="AF242" s="199"/>
      <c r="AG242" s="199"/>
      <c r="AH242" s="199"/>
      <c r="AI242" s="199"/>
      <c r="AJ242" s="199"/>
      <c r="AK242" s="199"/>
    </row>
    <row r="243" spans="1:37" ht="15.75" customHeight="1" thickBot="1">
      <c r="A243" s="191">
        <v>243</v>
      </c>
      <c r="B243" s="222" t="s">
        <v>365</v>
      </c>
      <c r="C243" s="193">
        <v>32256</v>
      </c>
      <c r="D243" s="223" t="s">
        <v>72</v>
      </c>
      <c r="E243" s="194"/>
      <c r="F243" s="194" t="str">
        <f t="shared" si="3"/>
        <v>ж</v>
      </c>
      <c r="G243" s="192" t="str">
        <f>IF(G240="","",G240)</f>
        <v>м.Старокостянтинів</v>
      </c>
      <c r="H243" s="192" t="str">
        <f>IF(H240="","",H240)</f>
        <v>м.Старокостянтинів</v>
      </c>
      <c r="I243" s="192">
        <f>IF(I240="","",I240)</f>
      </c>
      <c r="J243" s="377" t="s">
        <v>291</v>
      </c>
      <c r="K243" s="376"/>
      <c r="L243" s="7"/>
      <c r="M243" s="7"/>
      <c r="N243" s="204" t="s">
        <v>215</v>
      </c>
      <c r="O243" s="204">
        <v>240</v>
      </c>
      <c r="P243" s="205"/>
      <c r="Q243" s="205"/>
      <c r="R243" s="205"/>
      <c r="S243" s="205"/>
      <c r="T243" s="205"/>
      <c r="U243" s="206"/>
      <c r="V243" s="7"/>
      <c r="W243" s="7"/>
      <c r="X243" s="7"/>
      <c r="AE243" s="189"/>
      <c r="AF243" s="199"/>
      <c r="AG243" s="199"/>
      <c r="AH243" s="199"/>
      <c r="AI243" s="199"/>
      <c r="AJ243" s="199"/>
      <c r="AK243" s="199"/>
    </row>
    <row r="244" spans="1:37" ht="15.75" customHeight="1" thickBot="1">
      <c r="A244" s="191">
        <v>244</v>
      </c>
      <c r="B244" s="222" t="s">
        <v>293</v>
      </c>
      <c r="C244" s="193">
        <v>30079</v>
      </c>
      <c r="D244" s="223" t="s">
        <v>181</v>
      </c>
      <c r="E244" s="194"/>
      <c r="F244" s="194" t="str">
        <f t="shared" si="3"/>
        <v>ч</v>
      </c>
      <c r="G244" s="192" t="str">
        <f>IF(G240="","",G240)</f>
        <v>м.Старокостянтинів</v>
      </c>
      <c r="H244" s="192" t="str">
        <f>IF(H240="","",H240)</f>
        <v>м.Старокостянтинів</v>
      </c>
      <c r="I244" s="192">
        <f>IF(I240="","",I240)</f>
      </c>
      <c r="J244" s="377" t="s">
        <v>291</v>
      </c>
      <c r="K244" s="376"/>
      <c r="L244" s="7"/>
      <c r="M244" s="7"/>
      <c r="N244" s="7"/>
      <c r="O244" s="275"/>
      <c r="P244" s="275">
        <v>240</v>
      </c>
      <c r="Q244" s="276"/>
      <c r="R244" s="276"/>
      <c r="S244" s="276"/>
      <c r="T244" s="276"/>
      <c r="U244" s="276"/>
      <c r="V244" s="277"/>
      <c r="W244" s="7"/>
      <c r="X244" s="7"/>
      <c r="AE244" s="189"/>
      <c r="AF244" s="199"/>
      <c r="AG244" s="199"/>
      <c r="AH244" s="199"/>
      <c r="AI244" s="199"/>
      <c r="AJ244" s="199"/>
      <c r="AK244" s="199"/>
    </row>
    <row r="245" spans="1:37" ht="15.75" customHeight="1" thickBot="1">
      <c r="A245" s="191">
        <v>245</v>
      </c>
      <c r="B245" s="222" t="s">
        <v>294</v>
      </c>
      <c r="C245" s="193">
        <v>29311</v>
      </c>
      <c r="D245" s="223" t="s">
        <v>181</v>
      </c>
      <c r="E245" s="194"/>
      <c r="F245" s="194" t="str">
        <f t="shared" si="3"/>
        <v>ч</v>
      </c>
      <c r="G245" s="192" t="str">
        <f>IF(G240="","",G240)</f>
        <v>м.Старокостянтинів</v>
      </c>
      <c r="H245" s="192" t="str">
        <f>IF(H240="","",H240)</f>
        <v>м.Старокостянтинів</v>
      </c>
      <c r="I245" s="192">
        <f>IF(I240="","",I240)</f>
      </c>
      <c r="J245" s="377" t="s">
        <v>291</v>
      </c>
      <c r="K245" s="376"/>
      <c r="L245" s="7"/>
      <c r="M245" s="7"/>
      <c r="N245" s="7"/>
      <c r="O245" s="7"/>
      <c r="P245" s="207" t="s">
        <v>106</v>
      </c>
      <c r="Q245" s="207">
        <v>240</v>
      </c>
      <c r="R245" s="208"/>
      <c r="S245" s="208"/>
      <c r="T245" s="208"/>
      <c r="U245" s="208"/>
      <c r="V245" s="209"/>
      <c r="W245" s="208"/>
      <c r="X245" s="7"/>
      <c r="AE245" s="189"/>
      <c r="AF245" s="199"/>
      <c r="AG245" s="199"/>
      <c r="AH245" s="199"/>
      <c r="AI245" s="199"/>
      <c r="AJ245" s="199"/>
      <c r="AK245" s="199"/>
    </row>
    <row r="246" spans="1:37" ht="15.75" customHeight="1">
      <c r="A246" s="191">
        <v>246</v>
      </c>
      <c r="B246" s="222" t="s">
        <v>366</v>
      </c>
      <c r="C246" s="193">
        <v>26384</v>
      </c>
      <c r="D246" s="223" t="s">
        <v>181</v>
      </c>
      <c r="E246" s="194"/>
      <c r="F246" s="194" t="str">
        <f t="shared" si="3"/>
        <v>ч</v>
      </c>
      <c r="G246" s="192" t="str">
        <f>IF(G240="","",G240)</f>
        <v>м.Старокостянтинів</v>
      </c>
      <c r="H246" s="192" t="str">
        <f>IF(H240="","",H240)</f>
        <v>м.Старокостянтинів</v>
      </c>
      <c r="I246" s="192">
        <f>IF(I240="","",I240)</f>
      </c>
      <c r="J246" s="377" t="s">
        <v>291</v>
      </c>
      <c r="K246" s="376"/>
      <c r="L246" s="7"/>
      <c r="M246" s="7"/>
      <c r="N246" s="7"/>
      <c r="O246" s="7"/>
      <c r="P246" s="7"/>
      <c r="Q246" s="207" t="s">
        <v>107</v>
      </c>
      <c r="R246" s="207">
        <v>240</v>
      </c>
      <c r="S246" s="208"/>
      <c r="T246" s="208"/>
      <c r="U246" s="208"/>
      <c r="V246" s="208"/>
      <c r="W246" s="209"/>
      <c r="X246" s="208"/>
      <c r="AE246" s="189"/>
      <c r="AF246" s="199"/>
      <c r="AG246" s="199"/>
      <c r="AH246" s="199"/>
      <c r="AI246" s="199"/>
      <c r="AJ246" s="199"/>
      <c r="AK246" s="199"/>
    </row>
    <row r="247" spans="1:37" ht="15.75" customHeight="1">
      <c r="A247" s="191">
        <v>247</v>
      </c>
      <c r="B247" s="222" t="s">
        <v>367</v>
      </c>
      <c r="C247" s="193">
        <v>29070</v>
      </c>
      <c r="D247" s="223" t="s">
        <v>181</v>
      </c>
      <c r="E247" s="194"/>
      <c r="F247" s="194" t="str">
        <f t="shared" si="3"/>
        <v>ч</v>
      </c>
      <c r="G247" s="192" t="str">
        <f>IF(G240="","",G240)</f>
        <v>м.Старокостянтинів</v>
      </c>
      <c r="H247" s="192" t="str">
        <f>IF(H240="","",H240)</f>
        <v>м.Старокостянтинів</v>
      </c>
      <c r="I247" s="192">
        <f>IF(I240="","",I240)</f>
      </c>
      <c r="J247" s="377" t="s">
        <v>291</v>
      </c>
      <c r="K247" s="376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AE247" s="189"/>
      <c r="AF247" s="199"/>
      <c r="AG247" s="199"/>
      <c r="AH247" s="199"/>
      <c r="AI247" s="199"/>
      <c r="AJ247" s="199"/>
      <c r="AK247" s="199"/>
    </row>
    <row r="248" spans="1:37" ht="15.75" customHeight="1">
      <c r="A248" s="191">
        <v>248</v>
      </c>
      <c r="B248" s="222" t="s">
        <v>368</v>
      </c>
      <c r="C248" s="193">
        <v>33709</v>
      </c>
      <c r="D248" s="223" t="s">
        <v>181</v>
      </c>
      <c r="E248" s="194"/>
      <c r="F248" s="194" t="str">
        <f t="shared" si="3"/>
        <v>ж</v>
      </c>
      <c r="G248" s="192" t="str">
        <f>IF(G240="","",G240)</f>
        <v>м.Старокостянтинів</v>
      </c>
      <c r="H248" s="192" t="str">
        <f>IF(H240="","",H240)</f>
        <v>м.Старокостянтинів</v>
      </c>
      <c r="I248" s="192">
        <f>IF(I240="","",I240)</f>
      </c>
      <c r="J248" s="377" t="s">
        <v>291</v>
      </c>
      <c r="K248" s="376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AE248" s="189"/>
      <c r="AF248" s="199"/>
      <c r="AG248" s="199"/>
      <c r="AH248" s="199"/>
      <c r="AI248" s="199"/>
      <c r="AJ248" s="199"/>
      <c r="AK248" s="199"/>
    </row>
    <row r="249" spans="1:37" ht="15.75" customHeight="1" thickBot="1">
      <c r="A249" s="191">
        <v>249</v>
      </c>
      <c r="B249" s="192"/>
      <c r="C249" s="193"/>
      <c r="D249" s="194"/>
      <c r="E249" s="194"/>
      <c r="F249" s="194">
        <f t="shared" si="3"/>
      </c>
      <c r="G249" s="192" t="str">
        <f>IF(G240="","",G240)</f>
        <v>м.Старокостянтинів</v>
      </c>
      <c r="H249" s="192" t="str">
        <f>IF(H240="","",H240)</f>
        <v>м.Старокостянтинів</v>
      </c>
      <c r="I249" s="192">
        <f>IF(I240="","",I240)</f>
      </c>
      <c r="J249" s="378"/>
      <c r="K249" s="376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AE249" s="189"/>
      <c r="AF249" s="199"/>
      <c r="AG249" s="199"/>
      <c r="AH249" s="199"/>
      <c r="AI249" s="199"/>
      <c r="AJ249" s="199"/>
      <c r="AK249" s="199"/>
    </row>
    <row r="250" spans="1:37" ht="15.75" customHeight="1" thickBot="1">
      <c r="A250" s="180">
        <v>250</v>
      </c>
      <c r="B250" s="181"/>
      <c r="C250" s="182"/>
      <c r="D250" s="183"/>
      <c r="E250" s="183"/>
      <c r="F250" s="183">
        <f t="shared" si="3"/>
      </c>
      <c r="G250" s="181" t="s">
        <v>143</v>
      </c>
      <c r="H250" s="181" t="s">
        <v>68</v>
      </c>
      <c r="I250" s="181"/>
      <c r="J250" s="375"/>
      <c r="K250" s="376"/>
      <c r="L250" s="184">
        <v>250</v>
      </c>
      <c r="M250" s="185"/>
      <c r="N250" s="186"/>
      <c r="O250" s="186"/>
      <c r="P250" s="187"/>
      <c r="Q250" s="7"/>
      <c r="R250" s="7"/>
      <c r="AE250" s="189" t="str">
        <f>IF(COUNTIF($D250:$D259,AE$9)=0,"—",COUNTIF($D250:$D259,AE$9))</f>
        <v>—</v>
      </c>
      <c r="AF250" s="189">
        <f>IF(COUNTIF($D250:$D259,AF$9)=0,"—",COUNTIF($D250:$D259,AF$9))</f>
        <v>1</v>
      </c>
      <c r="AG250" s="189" t="str">
        <f>IF(COUNTIF($D250:$D259,AG$9)=0,"—",COUNTIF($D250:$D259,AG$9))</f>
        <v>—</v>
      </c>
      <c r="AH250" s="189">
        <f>IF(COUNTIF($D250:$D259,AH$9)=0,"—",COUNTIF($D250:$D259,AH$9))</f>
        <v>4</v>
      </c>
      <c r="AI250" s="189" t="str">
        <f>IF(COUNTIF($D250:$D259,AI$9)=0,"—",COUNTIF($D250:$D259,AI$9))</f>
        <v>—</v>
      </c>
      <c r="AJ250" s="189">
        <f>IF(COUNTIF($F250:$F259,AJ$9)=0,"—",COUNTIF($F250:$F259,AJ$9))</f>
        <v>6</v>
      </c>
      <c r="AK250" s="189">
        <f>IF(COUNTIF($F250:$F259,AK$9)=0,"—",COUNTIF($F250:$F259,AK$9))</f>
        <v>2</v>
      </c>
    </row>
    <row r="251" spans="1:37" ht="15.75" customHeight="1" thickBot="1">
      <c r="A251" s="191">
        <v>251</v>
      </c>
      <c r="B251" s="192" t="s">
        <v>191</v>
      </c>
      <c r="C251" s="193">
        <v>30457</v>
      </c>
      <c r="D251" s="194" t="s">
        <v>37</v>
      </c>
      <c r="E251" s="194"/>
      <c r="F251" s="194" t="str">
        <f t="shared" si="3"/>
        <v>ч</v>
      </c>
      <c r="G251" s="192" t="str">
        <f>IF(G250="","",G250)</f>
        <v>м.Хмельницького</v>
      </c>
      <c r="H251" s="192" t="str">
        <f>IF(H250="","",H250)</f>
        <v>м.Хмельницький</v>
      </c>
      <c r="I251" s="192">
        <f>IF(I250="","",I250)</f>
      </c>
      <c r="J251" s="378" t="s">
        <v>194</v>
      </c>
      <c r="K251" s="376"/>
      <c r="L251" s="7"/>
      <c r="M251" s="195">
        <v>250</v>
      </c>
      <c r="N251" s="196"/>
      <c r="O251" s="197"/>
      <c r="P251" s="197"/>
      <c r="Q251" s="198"/>
      <c r="R251" s="7"/>
      <c r="S251" s="7"/>
      <c r="T251" s="7"/>
      <c r="U251" s="7"/>
      <c r="V251" s="7"/>
      <c r="W251" s="7"/>
      <c r="X251" s="7"/>
      <c r="AE251" s="189"/>
      <c r="AF251" s="199"/>
      <c r="AG251" s="199"/>
      <c r="AH251" s="199"/>
      <c r="AI251" s="199"/>
      <c r="AJ251" s="199"/>
      <c r="AK251" s="199"/>
    </row>
    <row r="252" spans="1:37" ht="15.75" customHeight="1" thickBot="1">
      <c r="A252" s="191">
        <v>252</v>
      </c>
      <c r="B252" s="192" t="s">
        <v>192</v>
      </c>
      <c r="C252" s="193">
        <v>30642</v>
      </c>
      <c r="D252" s="194" t="s">
        <v>37</v>
      </c>
      <c r="E252" s="194"/>
      <c r="F252" s="194" t="str">
        <f t="shared" si="3"/>
        <v>ч</v>
      </c>
      <c r="G252" s="192" t="str">
        <f>IF(G250="","",G250)</f>
        <v>м.Хмельницького</v>
      </c>
      <c r="H252" s="192" t="str">
        <f>IF(H250="","",H250)</f>
        <v>м.Хмельницький</v>
      </c>
      <c r="I252" s="192">
        <f>IF(I250="","",I250)</f>
      </c>
      <c r="J252" s="378" t="s">
        <v>194</v>
      </c>
      <c r="K252" s="376"/>
      <c r="L252" s="7"/>
      <c r="M252" s="7"/>
      <c r="N252" s="200">
        <v>250</v>
      </c>
      <c r="O252" s="201"/>
      <c r="P252" s="202"/>
      <c r="Q252" s="202"/>
      <c r="R252" s="203"/>
      <c r="S252" s="7"/>
      <c r="T252" s="7"/>
      <c r="U252" s="7"/>
      <c r="V252" s="7"/>
      <c r="W252" s="7"/>
      <c r="X252" s="7"/>
      <c r="AE252" s="189"/>
      <c r="AF252" s="199"/>
      <c r="AG252" s="199"/>
      <c r="AH252" s="199"/>
      <c r="AI252" s="199"/>
      <c r="AJ252" s="199"/>
      <c r="AK252" s="199"/>
    </row>
    <row r="253" spans="1:37" ht="15.75" customHeight="1" thickBot="1">
      <c r="A253" s="191">
        <v>253</v>
      </c>
      <c r="B253" s="192" t="s">
        <v>233</v>
      </c>
      <c r="C253" s="193">
        <v>34544</v>
      </c>
      <c r="D253" s="194" t="s">
        <v>37</v>
      </c>
      <c r="E253" s="194"/>
      <c r="F253" s="194" t="str">
        <f t="shared" si="3"/>
        <v>ч</v>
      </c>
      <c r="G253" s="192" t="str">
        <f>IF(G250="","",G250)</f>
        <v>м.Хмельницького</v>
      </c>
      <c r="H253" s="192" t="str">
        <f>IF(H250="","",H250)</f>
        <v>м.Хмельницький</v>
      </c>
      <c r="I253" s="192">
        <f>IF(I250="","",I250)</f>
      </c>
      <c r="J253" s="378" t="s">
        <v>194</v>
      </c>
      <c r="K253" s="376"/>
      <c r="L253" s="7"/>
      <c r="M253" s="7"/>
      <c r="N253" s="204" t="s">
        <v>215</v>
      </c>
      <c r="O253" s="204">
        <v>250</v>
      </c>
      <c r="P253" s="205">
        <v>252</v>
      </c>
      <c r="Q253" s="205">
        <v>255</v>
      </c>
      <c r="R253" s="205">
        <v>256</v>
      </c>
      <c r="S253" s="205">
        <v>254</v>
      </c>
      <c r="T253" s="205">
        <v>253</v>
      </c>
      <c r="U253" s="206">
        <v>251</v>
      </c>
      <c r="V253" s="7"/>
      <c r="W253" s="7"/>
      <c r="X253" s="7"/>
      <c r="AE253" s="189"/>
      <c r="AF253" s="199"/>
      <c r="AG253" s="199"/>
      <c r="AH253" s="199"/>
      <c r="AI253" s="199"/>
      <c r="AJ253" s="199"/>
      <c r="AK253" s="199"/>
    </row>
    <row r="254" spans="1:37" ht="15.75" customHeight="1" thickBot="1">
      <c r="A254" s="191">
        <v>254</v>
      </c>
      <c r="B254" s="222" t="s">
        <v>390</v>
      </c>
      <c r="C254" s="193">
        <v>34954</v>
      </c>
      <c r="D254" s="223" t="s">
        <v>37</v>
      </c>
      <c r="E254" s="194"/>
      <c r="F254" s="194" t="str">
        <f t="shared" si="3"/>
        <v>ч</v>
      </c>
      <c r="G254" s="192" t="str">
        <f>IF(G250="","",G250)</f>
        <v>м.Хмельницького</v>
      </c>
      <c r="H254" s="192" t="str">
        <f>IF(H250="","",H250)</f>
        <v>м.Хмельницький</v>
      </c>
      <c r="I254" s="192">
        <f>IF(I250="","",I250)</f>
      </c>
      <c r="J254" s="378" t="s">
        <v>194</v>
      </c>
      <c r="K254" s="376"/>
      <c r="L254" s="7"/>
      <c r="M254" s="7"/>
      <c r="N254" s="7"/>
      <c r="O254" s="275"/>
      <c r="P254" s="275">
        <v>250</v>
      </c>
      <c r="Q254" s="276"/>
      <c r="R254" s="276"/>
      <c r="S254" s="276"/>
      <c r="T254" s="276"/>
      <c r="U254" s="276"/>
      <c r="V254" s="277"/>
      <c r="W254" s="7"/>
      <c r="X254" s="7"/>
      <c r="AE254" s="189"/>
      <c r="AF254" s="199"/>
      <c r="AG254" s="199"/>
      <c r="AH254" s="199"/>
      <c r="AI254" s="199"/>
      <c r="AJ254" s="199"/>
      <c r="AK254" s="199"/>
    </row>
    <row r="255" spans="1:37" ht="15.75" customHeight="1" thickBot="1">
      <c r="A255" s="191">
        <v>255</v>
      </c>
      <c r="B255" s="222" t="s">
        <v>391</v>
      </c>
      <c r="C255" s="193">
        <v>34933</v>
      </c>
      <c r="D255" s="223" t="s">
        <v>71</v>
      </c>
      <c r="E255" s="194"/>
      <c r="F255" s="194" t="str">
        <f t="shared" si="3"/>
        <v>ч</v>
      </c>
      <c r="G255" s="192" t="str">
        <f>IF(G250="","",G250)</f>
        <v>м.Хмельницького</v>
      </c>
      <c r="H255" s="192" t="str">
        <f>IF(H250="","",H250)</f>
        <v>м.Хмельницький</v>
      </c>
      <c r="I255" s="192">
        <f>IF(I250="","",I250)</f>
      </c>
      <c r="J255" s="378" t="s">
        <v>194</v>
      </c>
      <c r="K255" s="376"/>
      <c r="L255" s="7"/>
      <c r="M255" s="7"/>
      <c r="N255" s="7"/>
      <c r="O255" s="7"/>
      <c r="P255" s="207" t="s">
        <v>106</v>
      </c>
      <c r="Q255" s="207">
        <v>250</v>
      </c>
      <c r="R255" s="208"/>
      <c r="S255" s="208"/>
      <c r="T255" s="208"/>
      <c r="U255" s="208"/>
      <c r="V255" s="209"/>
      <c r="W255" s="208"/>
      <c r="X255" s="7"/>
      <c r="AE255" s="189"/>
      <c r="AF255" s="199"/>
      <c r="AG255" s="199"/>
      <c r="AH255" s="199"/>
      <c r="AI255" s="199"/>
      <c r="AJ255" s="199"/>
      <c r="AK255" s="199"/>
    </row>
    <row r="256" spans="1:37" ht="15.75" customHeight="1">
      <c r="A256" s="191">
        <v>256</v>
      </c>
      <c r="B256" s="222" t="s">
        <v>392</v>
      </c>
      <c r="C256" s="193">
        <v>34284</v>
      </c>
      <c r="D256" s="194" t="s">
        <v>181</v>
      </c>
      <c r="E256" s="194"/>
      <c r="F256" s="194" t="str">
        <f t="shared" si="3"/>
        <v>ж</v>
      </c>
      <c r="G256" s="192" t="str">
        <f>IF(G250="","",G250)</f>
        <v>м.Хмельницького</v>
      </c>
      <c r="H256" s="192" t="str">
        <f>IF(H250="","",H250)</f>
        <v>м.Хмельницький</v>
      </c>
      <c r="I256" s="192">
        <f>IF(I250="","",I250)</f>
      </c>
      <c r="J256" s="378" t="s">
        <v>194</v>
      </c>
      <c r="K256" s="376"/>
      <c r="L256" s="7"/>
      <c r="M256" s="7"/>
      <c r="N256" s="7"/>
      <c r="O256" s="7"/>
      <c r="P256" s="7"/>
      <c r="Q256" s="207" t="s">
        <v>107</v>
      </c>
      <c r="R256" s="207">
        <v>250</v>
      </c>
      <c r="S256" s="208"/>
      <c r="T256" s="208"/>
      <c r="U256" s="208"/>
      <c r="V256" s="208"/>
      <c r="W256" s="209"/>
      <c r="X256" s="208"/>
      <c r="AE256" s="189"/>
      <c r="AF256" s="199"/>
      <c r="AG256" s="199"/>
      <c r="AH256" s="199"/>
      <c r="AI256" s="199"/>
      <c r="AJ256" s="199"/>
      <c r="AK256" s="199"/>
    </row>
    <row r="257" spans="1:37" ht="15.75" customHeight="1">
      <c r="A257" s="191">
        <v>257</v>
      </c>
      <c r="B257" s="192" t="s">
        <v>193</v>
      </c>
      <c r="C257" s="193">
        <v>31625</v>
      </c>
      <c r="D257" s="194" t="s">
        <v>181</v>
      </c>
      <c r="E257" s="194"/>
      <c r="F257" s="194" t="str">
        <f t="shared" si="3"/>
        <v>ч</v>
      </c>
      <c r="G257" s="192" t="str">
        <f>IF(G250="","",G250)</f>
        <v>м.Хмельницького</v>
      </c>
      <c r="H257" s="192" t="str">
        <f>IF(H250="","",H250)</f>
        <v>м.Хмельницький</v>
      </c>
      <c r="I257" s="192">
        <f>IF(I250="","",I250)</f>
      </c>
      <c r="J257" s="378" t="s">
        <v>194</v>
      </c>
      <c r="K257" s="376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AE257" s="189"/>
      <c r="AF257" s="199"/>
      <c r="AG257" s="199"/>
      <c r="AH257" s="199"/>
      <c r="AI257" s="199"/>
      <c r="AJ257" s="199"/>
      <c r="AK257" s="199"/>
    </row>
    <row r="258" spans="1:37" ht="15.75" customHeight="1">
      <c r="A258" s="191">
        <v>258</v>
      </c>
      <c r="B258" s="222" t="s">
        <v>320</v>
      </c>
      <c r="C258" s="193">
        <v>22173</v>
      </c>
      <c r="D258" s="194" t="s">
        <v>181</v>
      </c>
      <c r="E258" s="194"/>
      <c r="F258" s="194" t="str">
        <f t="shared" si="3"/>
        <v>ж</v>
      </c>
      <c r="G258" s="192" t="str">
        <f>IF(G250="","",G250)</f>
        <v>м.Хмельницького</v>
      </c>
      <c r="H258" s="192" t="str">
        <f>IF(H250="","",H250)</f>
        <v>м.Хмельницький</v>
      </c>
      <c r="I258" s="192">
        <f>IF(I250="","",I250)</f>
      </c>
      <c r="J258" s="378" t="s">
        <v>194</v>
      </c>
      <c r="K258" s="376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AE258" s="189"/>
      <c r="AF258" s="199"/>
      <c r="AG258" s="199"/>
      <c r="AH258" s="199"/>
      <c r="AI258" s="199"/>
      <c r="AJ258" s="199"/>
      <c r="AK258" s="199"/>
    </row>
    <row r="259" spans="1:37" ht="15.75" customHeight="1" thickBot="1">
      <c r="A259" s="191">
        <v>259</v>
      </c>
      <c r="B259" s="192"/>
      <c r="C259" s="193"/>
      <c r="D259" s="194"/>
      <c r="E259" s="194"/>
      <c r="F259" s="194">
        <f t="shared" si="3"/>
      </c>
      <c r="G259" s="192" t="str">
        <f>IF(G250="","",G250)</f>
        <v>м.Хмельницького</v>
      </c>
      <c r="H259" s="192" t="str">
        <f>IF(H250="","",H250)</f>
        <v>м.Хмельницький</v>
      </c>
      <c r="I259" s="192">
        <f>IF(I250="","",I250)</f>
      </c>
      <c r="J259" s="378"/>
      <c r="K259" s="376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AE259" s="189"/>
      <c r="AF259" s="199"/>
      <c r="AG259" s="199"/>
      <c r="AH259" s="199"/>
      <c r="AI259" s="199"/>
      <c r="AJ259" s="199"/>
      <c r="AK259" s="199"/>
    </row>
    <row r="260" spans="1:37" ht="15.75" customHeight="1" thickBot="1">
      <c r="A260" s="180">
        <v>260</v>
      </c>
      <c r="B260" s="181"/>
      <c r="C260" s="182"/>
      <c r="D260" s="183"/>
      <c r="E260" s="183"/>
      <c r="F260" s="183">
        <f t="shared" si="3"/>
      </c>
      <c r="G260" s="181" t="s">
        <v>69</v>
      </c>
      <c r="H260" s="181" t="s">
        <v>34</v>
      </c>
      <c r="I260" s="181"/>
      <c r="J260" s="375"/>
      <c r="K260" s="376"/>
      <c r="L260" s="184">
        <v>260</v>
      </c>
      <c r="M260" s="185"/>
      <c r="N260" s="186"/>
      <c r="O260" s="186"/>
      <c r="P260" s="187"/>
      <c r="Q260" s="7"/>
      <c r="R260" s="7"/>
      <c r="AE260" s="189">
        <f>IF(COUNTIF($D260:$D269,AE$9)=0,"—",COUNTIF($D260:$D269,AE$9))</f>
        <v>4</v>
      </c>
      <c r="AF260" s="189">
        <f>IF(COUNTIF($D260:$D269,AF$9)=0,"—",COUNTIF($D260:$D269,AF$9))</f>
        <v>1</v>
      </c>
      <c r="AG260" s="189">
        <f>IF(COUNTIF($D260:$D269,AG$9)=0,"—",COUNTIF($D260:$D269,AG$9))</f>
        <v>3</v>
      </c>
      <c r="AH260" s="189" t="str">
        <f>IF(COUNTIF($D260:$D269,AH$9)=0,"—",COUNTIF($D260:$D269,AH$9))</f>
        <v>—</v>
      </c>
      <c r="AI260" s="189" t="str">
        <f>IF(COUNTIF($D260:$D269,AI$9)=0,"—",COUNTIF($D260:$D269,AI$9))</f>
        <v>—</v>
      </c>
      <c r="AJ260" s="189">
        <f>IF(COUNTIF($F260:$F269,AJ$9)=0,"—",COUNTIF($F260:$F269,AJ$9))</f>
        <v>6</v>
      </c>
      <c r="AK260" s="189">
        <f>IF(COUNTIF($F260:$F269,AK$9)=0,"—",COUNTIF($F260:$F269,AK$9))</f>
        <v>2</v>
      </c>
    </row>
    <row r="261" spans="1:37" ht="15.75" customHeight="1" thickBot="1">
      <c r="A261" s="191">
        <v>261</v>
      </c>
      <c r="B261" s="192" t="s">
        <v>179</v>
      </c>
      <c r="C261" s="193">
        <v>31057</v>
      </c>
      <c r="D261" s="194" t="s">
        <v>70</v>
      </c>
      <c r="E261" s="194"/>
      <c r="F261" s="194" t="str">
        <f t="shared" si="3"/>
        <v>ч</v>
      </c>
      <c r="G261" s="192" t="str">
        <f>IF(G260="","",G260)</f>
        <v>м.Шепетівки</v>
      </c>
      <c r="H261" s="192" t="str">
        <f>IF(H260="","",H260)</f>
        <v>м.Шепетівка</v>
      </c>
      <c r="I261" s="192">
        <f>IF(I260="","",I260)</f>
      </c>
      <c r="J261" s="377" t="s">
        <v>369</v>
      </c>
      <c r="K261" s="376"/>
      <c r="L261" s="7"/>
      <c r="M261" s="195">
        <v>260</v>
      </c>
      <c r="N261" s="196"/>
      <c r="O261" s="197"/>
      <c r="P261" s="197"/>
      <c r="Q261" s="198"/>
      <c r="R261" s="7"/>
      <c r="S261" s="7"/>
      <c r="T261" s="7"/>
      <c r="U261" s="7"/>
      <c r="V261" s="7"/>
      <c r="W261" s="7"/>
      <c r="X261" s="7"/>
      <c r="AE261" s="189"/>
      <c r="AF261" s="199"/>
      <c r="AG261" s="199"/>
      <c r="AH261" s="199"/>
      <c r="AI261" s="199"/>
      <c r="AJ261" s="199"/>
      <c r="AK261" s="199"/>
    </row>
    <row r="262" spans="1:37" ht="15.75" customHeight="1" thickBot="1">
      <c r="A262" s="191">
        <v>262</v>
      </c>
      <c r="B262" s="192" t="s">
        <v>226</v>
      </c>
      <c r="C262" s="193">
        <v>29033</v>
      </c>
      <c r="D262" s="194" t="s">
        <v>72</v>
      </c>
      <c r="E262" s="194"/>
      <c r="F262" s="194" t="str">
        <f t="shared" si="3"/>
        <v>ж</v>
      </c>
      <c r="G262" s="192" t="str">
        <f>IF(G260="","",G260)</f>
        <v>м.Шепетівки</v>
      </c>
      <c r="H262" s="192" t="str">
        <f>IF(H260="","",H260)</f>
        <v>м.Шепетівка</v>
      </c>
      <c r="I262" s="192">
        <f>IF(I260="","",I260)</f>
      </c>
      <c r="J262" s="378" t="s">
        <v>369</v>
      </c>
      <c r="K262" s="376"/>
      <c r="L262" s="7"/>
      <c r="M262" s="7"/>
      <c r="N262" s="200">
        <v>260</v>
      </c>
      <c r="O262" s="201"/>
      <c r="P262" s="202"/>
      <c r="Q262" s="202"/>
      <c r="R262" s="203"/>
      <c r="S262" s="7"/>
      <c r="T262" s="7"/>
      <c r="U262" s="7"/>
      <c r="V262" s="7"/>
      <c r="W262" s="7"/>
      <c r="X262" s="7"/>
      <c r="AE262" s="189"/>
      <c r="AF262" s="199"/>
      <c r="AG262" s="199"/>
      <c r="AH262" s="199"/>
      <c r="AI262" s="199"/>
      <c r="AJ262" s="199"/>
      <c r="AK262" s="199"/>
    </row>
    <row r="263" spans="1:37" ht="15.75" customHeight="1" thickBot="1">
      <c r="A263" s="191">
        <v>263</v>
      </c>
      <c r="B263" s="192" t="s">
        <v>180</v>
      </c>
      <c r="C263" s="193">
        <v>31686</v>
      </c>
      <c r="D263" s="194" t="s">
        <v>72</v>
      </c>
      <c r="E263" s="194"/>
      <c r="F263" s="194" t="str">
        <f t="shared" si="3"/>
        <v>ч</v>
      </c>
      <c r="G263" s="192" t="str">
        <f>IF(G260="","",G260)</f>
        <v>м.Шепетівки</v>
      </c>
      <c r="H263" s="192" t="str">
        <f>IF(H260="","",H260)</f>
        <v>м.Шепетівка</v>
      </c>
      <c r="I263" s="192">
        <f>IF(I260="","",I260)</f>
      </c>
      <c r="J263" s="378" t="s">
        <v>369</v>
      </c>
      <c r="K263" s="376"/>
      <c r="L263" s="7"/>
      <c r="M263" s="7"/>
      <c r="N263" s="204" t="s">
        <v>215</v>
      </c>
      <c r="O263" s="204">
        <v>260</v>
      </c>
      <c r="P263" s="205">
        <v>261</v>
      </c>
      <c r="Q263" s="205">
        <v>262</v>
      </c>
      <c r="R263" s="205">
        <v>263</v>
      </c>
      <c r="S263" s="205">
        <v>264</v>
      </c>
      <c r="T263" s="205">
        <v>265</v>
      </c>
      <c r="U263" s="206">
        <v>266</v>
      </c>
      <c r="V263" s="7"/>
      <c r="W263" s="7"/>
      <c r="X263" s="7"/>
      <c r="AE263" s="189"/>
      <c r="AF263" s="199"/>
      <c r="AG263" s="199"/>
      <c r="AH263" s="199"/>
      <c r="AI263" s="199"/>
      <c r="AJ263" s="199"/>
      <c r="AK263" s="199"/>
    </row>
    <row r="264" spans="1:37" ht="15.75" customHeight="1" thickBot="1">
      <c r="A264" s="191">
        <v>264</v>
      </c>
      <c r="B264" s="222" t="s">
        <v>296</v>
      </c>
      <c r="C264" s="193">
        <v>33118</v>
      </c>
      <c r="D264" s="194" t="s">
        <v>72</v>
      </c>
      <c r="E264" s="194"/>
      <c r="F264" s="194" t="str">
        <f t="shared" si="3"/>
        <v>ч</v>
      </c>
      <c r="G264" s="192" t="str">
        <f>IF(G260="","",G260)</f>
        <v>м.Шепетівки</v>
      </c>
      <c r="H264" s="192" t="str">
        <f>IF(H260="","",H260)</f>
        <v>м.Шепетівка</v>
      </c>
      <c r="I264" s="192">
        <f>IF(I260="","",I260)</f>
      </c>
      <c r="J264" s="378" t="s">
        <v>369</v>
      </c>
      <c r="K264" s="376"/>
      <c r="L264" s="7"/>
      <c r="M264" s="7"/>
      <c r="N264" s="7"/>
      <c r="O264" s="275"/>
      <c r="P264" s="275">
        <v>260</v>
      </c>
      <c r="Q264" s="276"/>
      <c r="R264" s="276"/>
      <c r="S264" s="276"/>
      <c r="T264" s="276"/>
      <c r="U264" s="276"/>
      <c r="V264" s="277"/>
      <c r="W264" s="7"/>
      <c r="X264" s="7"/>
      <c r="AE264" s="189"/>
      <c r="AF264" s="199"/>
      <c r="AG264" s="199"/>
      <c r="AH264" s="199"/>
      <c r="AI264" s="199"/>
      <c r="AJ264" s="199"/>
      <c r="AK264" s="199"/>
    </row>
    <row r="265" spans="1:37" ht="15.75" customHeight="1" thickBot="1">
      <c r="A265" s="191">
        <v>265</v>
      </c>
      <c r="B265" s="222" t="s">
        <v>295</v>
      </c>
      <c r="C265" s="193">
        <v>31802</v>
      </c>
      <c r="D265" s="223" t="s">
        <v>72</v>
      </c>
      <c r="E265" s="194"/>
      <c r="F265" s="194" t="str">
        <f t="shared" si="3"/>
        <v>ж</v>
      </c>
      <c r="G265" s="192" t="str">
        <f>IF(G260="","",G260)</f>
        <v>м.Шепетівки</v>
      </c>
      <c r="H265" s="192" t="str">
        <f>IF(H260="","",H260)</f>
        <v>м.Шепетівка</v>
      </c>
      <c r="I265" s="192">
        <f>IF(I260="","",I260)</f>
      </c>
      <c r="J265" s="378" t="s">
        <v>369</v>
      </c>
      <c r="K265" s="376"/>
      <c r="L265" s="7"/>
      <c r="M265" s="7"/>
      <c r="N265" s="7"/>
      <c r="O265" s="7"/>
      <c r="P265" s="207" t="s">
        <v>106</v>
      </c>
      <c r="Q265" s="207">
        <v>260</v>
      </c>
      <c r="R265" s="208"/>
      <c r="S265" s="208"/>
      <c r="T265" s="208"/>
      <c r="U265" s="208"/>
      <c r="V265" s="209"/>
      <c r="W265" s="208"/>
      <c r="X265" s="7"/>
      <c r="AE265" s="189"/>
      <c r="AF265" s="199"/>
      <c r="AG265" s="199"/>
      <c r="AH265" s="199"/>
      <c r="AI265" s="199"/>
      <c r="AJ265" s="199"/>
      <c r="AK265" s="199"/>
    </row>
    <row r="266" spans="1:37" ht="15.75" customHeight="1">
      <c r="A266" s="191">
        <v>266</v>
      </c>
      <c r="B266" s="192" t="s">
        <v>178</v>
      </c>
      <c r="C266" s="193">
        <v>31241</v>
      </c>
      <c r="D266" s="194" t="s">
        <v>70</v>
      </c>
      <c r="E266" s="194"/>
      <c r="F266" s="194" t="str">
        <f t="shared" si="3"/>
        <v>ч</v>
      </c>
      <c r="G266" s="192" t="str">
        <f>IF(G260="","",G260)</f>
        <v>м.Шепетівки</v>
      </c>
      <c r="H266" s="192" t="str">
        <f>IF(H260="","",H260)</f>
        <v>м.Шепетівка</v>
      </c>
      <c r="I266" s="192">
        <f>IF(I260="","",I260)</f>
      </c>
      <c r="J266" s="377" t="s">
        <v>369</v>
      </c>
      <c r="K266" s="376"/>
      <c r="L266" s="7"/>
      <c r="M266" s="7"/>
      <c r="N266" s="7"/>
      <c r="O266" s="7"/>
      <c r="P266" s="7"/>
      <c r="Q266" s="207" t="s">
        <v>107</v>
      </c>
      <c r="R266" s="207">
        <v>260</v>
      </c>
      <c r="S266" s="208"/>
      <c r="T266" s="208"/>
      <c r="U266" s="208"/>
      <c r="V266" s="208"/>
      <c r="W266" s="209"/>
      <c r="X266" s="208"/>
      <c r="AE266" s="189"/>
      <c r="AF266" s="199"/>
      <c r="AG266" s="199"/>
      <c r="AH266" s="199"/>
      <c r="AI266" s="199"/>
      <c r="AJ266" s="199"/>
      <c r="AK266" s="199"/>
    </row>
    <row r="267" spans="1:37" ht="15.75" customHeight="1">
      <c r="A267" s="191">
        <v>267</v>
      </c>
      <c r="B267" s="222" t="s">
        <v>370</v>
      </c>
      <c r="C267" s="193">
        <v>31484</v>
      </c>
      <c r="D267" s="223" t="s">
        <v>70</v>
      </c>
      <c r="E267" s="194"/>
      <c r="F267" s="194" t="str">
        <f aca="true" t="shared" si="4" ref="F267:F279">IF(OR(RIGHT($B267,3)="вич",RIGHT($B267,2)="іч"),"ч",IF(RIGHT($B267,3)="вна","ж",IF(ISBLANK($B267),"","?")))</f>
        <v>ч</v>
      </c>
      <c r="G267" s="222" t="str">
        <f>IF(G260="","",G260)</f>
        <v>м.Шепетівки</v>
      </c>
      <c r="H267" s="222" t="str">
        <f>IF(H260="","",H260)</f>
        <v>м.Шепетівка</v>
      </c>
      <c r="I267" s="192">
        <f>IF(I260="","",I260)</f>
      </c>
      <c r="J267" s="378" t="s">
        <v>369</v>
      </c>
      <c r="K267" s="376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AE267" s="189"/>
      <c r="AF267" s="199"/>
      <c r="AG267" s="199"/>
      <c r="AH267" s="199"/>
      <c r="AI267" s="199"/>
      <c r="AJ267" s="199"/>
      <c r="AK267" s="199"/>
    </row>
    <row r="268" spans="1:37" ht="15.75" customHeight="1">
      <c r="A268" s="191">
        <v>268</v>
      </c>
      <c r="B268" s="222" t="s">
        <v>371</v>
      </c>
      <c r="C268" s="193">
        <v>28851</v>
      </c>
      <c r="D268" s="223" t="s">
        <v>71</v>
      </c>
      <c r="E268" s="194"/>
      <c r="F268" s="194" t="str">
        <f t="shared" si="4"/>
        <v>ч</v>
      </c>
      <c r="G268" s="192" t="str">
        <f>IF(G260="","",G260)</f>
        <v>м.Шепетівки</v>
      </c>
      <c r="H268" s="192" t="str">
        <f>IF(H260="","",H260)</f>
        <v>м.Шепетівка</v>
      </c>
      <c r="I268" s="192">
        <f>IF(I260="","",I260)</f>
      </c>
      <c r="J268" s="378" t="s">
        <v>369</v>
      </c>
      <c r="K268" s="376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AE268" s="189"/>
      <c r="AF268" s="199"/>
      <c r="AG268" s="199"/>
      <c r="AH268" s="199"/>
      <c r="AI268" s="199"/>
      <c r="AJ268" s="199"/>
      <c r="AK268" s="199"/>
    </row>
    <row r="269" spans="1:37" ht="15.75" customHeight="1" thickBot="1">
      <c r="A269" s="191">
        <v>269</v>
      </c>
      <c r="B269" s="192"/>
      <c r="C269" s="193"/>
      <c r="D269" s="194"/>
      <c r="E269" s="194"/>
      <c r="F269" s="194">
        <f t="shared" si="4"/>
      </c>
      <c r="G269" s="192" t="str">
        <f>IF(G260="","",G260)</f>
        <v>м.Шепетівки</v>
      </c>
      <c r="H269" s="192" t="str">
        <f>IF(H260="","",H260)</f>
        <v>м.Шепетівка</v>
      </c>
      <c r="I269" s="192">
        <f>IF(I260="","",I260)</f>
      </c>
      <c r="J269" s="378"/>
      <c r="K269" s="376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AE269" s="189"/>
      <c r="AF269" s="199"/>
      <c r="AG269" s="199"/>
      <c r="AH269" s="199"/>
      <c r="AI269" s="199"/>
      <c r="AJ269" s="199"/>
      <c r="AK269" s="199"/>
    </row>
    <row r="270" spans="1:37" ht="15.75" customHeight="1" thickBot="1">
      <c r="A270" s="180">
        <v>270</v>
      </c>
      <c r="B270" s="181"/>
      <c r="C270" s="182"/>
      <c r="D270" s="183"/>
      <c r="E270" s="183"/>
      <c r="F270" s="183">
        <f t="shared" si="4"/>
      </c>
      <c r="G270" s="181"/>
      <c r="H270" s="181" t="s">
        <v>92</v>
      </c>
      <c r="I270" s="181"/>
      <c r="J270" s="375"/>
      <c r="K270" s="376"/>
      <c r="L270" s="184">
        <v>270</v>
      </c>
      <c r="M270" s="185"/>
      <c r="N270" s="186"/>
      <c r="O270" s="186"/>
      <c r="P270" s="187"/>
      <c r="Q270" s="7"/>
      <c r="R270" s="7"/>
      <c r="AE270" s="189" t="str">
        <f>IF(COUNTIF($D270:$D279,AE$9)=0,"—",COUNTIF($D270:$D279,AE$9))</f>
        <v>—</v>
      </c>
      <c r="AF270" s="189" t="str">
        <f>IF(COUNTIF($D270:$D279,AF$9)=0,"—",COUNTIF($D270:$D279,AF$9))</f>
        <v>—</v>
      </c>
      <c r="AG270" s="189" t="str">
        <f>IF(COUNTIF($D270:$D279,AG$9)=0,"—",COUNTIF($D270:$D279,AG$9))</f>
        <v>—</v>
      </c>
      <c r="AH270" s="189" t="str">
        <f>IF(COUNTIF($D270:$D279,AH$9)=0,"—",COUNTIF($D270:$D279,AH$9))</f>
        <v>—</v>
      </c>
      <c r="AI270" s="189" t="str">
        <f>IF(COUNTIF($D270:$D279,AI$9)=0,"—",COUNTIF($D270:$D279,AI$9))</f>
        <v>—</v>
      </c>
      <c r="AJ270" s="189" t="str">
        <f>IF(COUNTIF($F270:$F279,AJ$9)=0,"—",COUNTIF($F270:$F279,AJ$9))</f>
        <v>—</v>
      </c>
      <c r="AK270" s="189" t="str">
        <f>IF(COUNTIF($F270:$F279,AK$9)=0,"—",COUNTIF($F270:$F279,AK$9))</f>
        <v>—</v>
      </c>
    </row>
    <row r="271" spans="1:37" ht="15.75" customHeight="1" thickBot="1">
      <c r="A271" s="191">
        <v>271</v>
      </c>
      <c r="B271" s="192"/>
      <c r="C271" s="193"/>
      <c r="D271" s="194"/>
      <c r="E271" s="194"/>
      <c r="F271" s="194">
        <f t="shared" si="4"/>
      </c>
      <c r="G271" s="192">
        <f>IF(G270="","",G270)</f>
      </c>
      <c r="H271" s="192" t="str">
        <f>IF(H270="","",H270)</f>
        <v>Хмельницька обл.</v>
      </c>
      <c r="I271" s="192">
        <f>IF(I270="","",I270)</f>
      </c>
      <c r="J271" s="378"/>
      <c r="K271" s="376"/>
      <c r="L271" s="7"/>
      <c r="M271" s="195">
        <v>270</v>
      </c>
      <c r="N271" s="196"/>
      <c r="O271" s="197"/>
      <c r="P271" s="197"/>
      <c r="Q271" s="198"/>
      <c r="R271" s="7"/>
      <c r="S271" s="7"/>
      <c r="T271" s="7"/>
      <c r="U271" s="7"/>
      <c r="V271" s="7"/>
      <c r="W271" s="7"/>
      <c r="X271" s="7"/>
      <c r="AE271" s="189"/>
      <c r="AF271" s="199"/>
      <c r="AG271" s="199"/>
      <c r="AH271" s="199"/>
      <c r="AI271" s="199"/>
      <c r="AJ271" s="199"/>
      <c r="AK271" s="199"/>
    </row>
    <row r="272" spans="1:37" ht="15.75" customHeight="1" thickBot="1">
      <c r="A272" s="191">
        <v>272</v>
      </c>
      <c r="B272" s="192"/>
      <c r="C272" s="193"/>
      <c r="D272" s="194"/>
      <c r="E272" s="194"/>
      <c r="F272" s="194">
        <f t="shared" si="4"/>
      </c>
      <c r="G272" s="192">
        <f>IF(G270="","",G270)</f>
      </c>
      <c r="H272" s="192" t="str">
        <f>IF(H270="","",H270)</f>
        <v>Хмельницька обл.</v>
      </c>
      <c r="I272" s="192">
        <f>IF(I270="","",I270)</f>
      </c>
      <c r="J272" s="378"/>
      <c r="K272" s="376"/>
      <c r="L272" s="7"/>
      <c r="M272" s="7"/>
      <c r="N272" s="200">
        <v>270</v>
      </c>
      <c r="O272" s="201"/>
      <c r="P272" s="202"/>
      <c r="Q272" s="202"/>
      <c r="R272" s="203"/>
      <c r="S272" s="7"/>
      <c r="T272" s="7"/>
      <c r="U272" s="7"/>
      <c r="V272" s="7"/>
      <c r="W272" s="7"/>
      <c r="X272" s="7"/>
      <c r="AE272" s="189"/>
      <c r="AF272" s="199"/>
      <c r="AG272" s="199"/>
      <c r="AH272" s="199"/>
      <c r="AI272" s="199"/>
      <c r="AJ272" s="199"/>
      <c r="AK272" s="199"/>
    </row>
    <row r="273" spans="1:37" ht="15.75" customHeight="1" thickBot="1">
      <c r="A273" s="191">
        <v>273</v>
      </c>
      <c r="B273" s="192"/>
      <c r="C273" s="193"/>
      <c r="D273" s="194"/>
      <c r="E273" s="194"/>
      <c r="F273" s="194">
        <f t="shared" si="4"/>
      </c>
      <c r="G273" s="192">
        <f>IF(G270="","",G270)</f>
      </c>
      <c r="H273" s="192" t="str">
        <f>IF(H270="","",H270)</f>
        <v>Хмельницька обл.</v>
      </c>
      <c r="I273" s="192">
        <f>IF(I270="","",I270)</f>
      </c>
      <c r="J273" s="378"/>
      <c r="K273" s="376"/>
      <c r="L273" s="7"/>
      <c r="M273" s="7"/>
      <c r="N273" s="204" t="s">
        <v>215</v>
      </c>
      <c r="O273" s="204">
        <v>270</v>
      </c>
      <c r="P273" s="205"/>
      <c r="Q273" s="205"/>
      <c r="R273" s="205"/>
      <c r="S273" s="205"/>
      <c r="T273" s="205"/>
      <c r="U273" s="206"/>
      <c r="V273" s="7"/>
      <c r="W273" s="7"/>
      <c r="X273" s="7"/>
      <c r="AE273" s="189"/>
      <c r="AF273" s="199"/>
      <c r="AG273" s="199"/>
      <c r="AH273" s="199"/>
      <c r="AI273" s="199"/>
      <c r="AJ273" s="199"/>
      <c r="AK273" s="199"/>
    </row>
    <row r="274" spans="1:37" ht="15.75" customHeight="1" thickBot="1">
      <c r="A274" s="191">
        <v>274</v>
      </c>
      <c r="B274" s="192"/>
      <c r="C274" s="193"/>
      <c r="D274" s="194"/>
      <c r="E274" s="194"/>
      <c r="F274" s="194">
        <f t="shared" si="4"/>
      </c>
      <c r="G274" s="192">
        <f>IF(G270="","",G270)</f>
      </c>
      <c r="H274" s="192" t="str">
        <f>IF(H270="","",H270)</f>
        <v>Хмельницька обл.</v>
      </c>
      <c r="I274" s="192">
        <f>IF(I270="","",I270)</f>
      </c>
      <c r="J274" s="378"/>
      <c r="K274" s="376"/>
      <c r="L274" s="7"/>
      <c r="M274" s="7"/>
      <c r="N274" s="7"/>
      <c r="O274" s="275"/>
      <c r="P274" s="275">
        <v>270</v>
      </c>
      <c r="Q274" s="276"/>
      <c r="R274" s="276"/>
      <c r="S274" s="276"/>
      <c r="T274" s="276"/>
      <c r="U274" s="276"/>
      <c r="V274" s="277"/>
      <c r="W274" s="7"/>
      <c r="X274" s="7"/>
      <c r="AE274" s="189"/>
      <c r="AF274" s="199"/>
      <c r="AG274" s="199"/>
      <c r="AH274" s="199"/>
      <c r="AI274" s="199"/>
      <c r="AJ274" s="199"/>
      <c r="AK274" s="199"/>
    </row>
    <row r="275" spans="1:37" ht="15.75" customHeight="1" thickBot="1">
      <c r="A275" s="191">
        <v>275</v>
      </c>
      <c r="B275" s="192"/>
      <c r="C275" s="193"/>
      <c r="D275" s="194"/>
      <c r="E275" s="194"/>
      <c r="F275" s="194">
        <f t="shared" si="4"/>
      </c>
      <c r="G275" s="192">
        <f>IF(G270="","",G270)</f>
      </c>
      <c r="H275" s="192" t="str">
        <f>IF(H270="","",H270)</f>
        <v>Хмельницька обл.</v>
      </c>
      <c r="I275" s="192">
        <f>IF(I270="","",I270)</f>
      </c>
      <c r="J275" s="378"/>
      <c r="K275" s="376"/>
      <c r="L275" s="7"/>
      <c r="M275" s="7"/>
      <c r="N275" s="7"/>
      <c r="O275" s="7"/>
      <c r="P275" s="207" t="s">
        <v>106</v>
      </c>
      <c r="Q275" s="207">
        <v>270</v>
      </c>
      <c r="R275" s="208"/>
      <c r="S275" s="208"/>
      <c r="T275" s="208"/>
      <c r="U275" s="208"/>
      <c r="V275" s="209"/>
      <c r="W275" s="208"/>
      <c r="X275" s="7"/>
      <c r="AE275" s="189"/>
      <c r="AF275" s="199"/>
      <c r="AG275" s="199"/>
      <c r="AH275" s="199"/>
      <c r="AI275" s="199"/>
      <c r="AJ275" s="199"/>
      <c r="AK275" s="199"/>
    </row>
    <row r="276" spans="1:37" ht="15.75" customHeight="1">
      <c r="A276" s="191">
        <v>276</v>
      </c>
      <c r="B276" s="192"/>
      <c r="C276" s="193"/>
      <c r="D276" s="211"/>
      <c r="E276" s="194"/>
      <c r="F276" s="194">
        <f t="shared" si="4"/>
      </c>
      <c r="G276" s="192">
        <f>IF(G270="","",G270)</f>
      </c>
      <c r="H276" s="192" t="str">
        <f>IF(H270="","",H270)</f>
        <v>Хмельницька обл.</v>
      </c>
      <c r="I276" s="192">
        <f>IF(I270="","",I270)</f>
      </c>
      <c r="J276" s="378"/>
      <c r="K276" s="376"/>
      <c r="L276" s="7"/>
      <c r="M276" s="7"/>
      <c r="N276" s="7"/>
      <c r="O276" s="7"/>
      <c r="P276" s="7"/>
      <c r="Q276" s="207" t="s">
        <v>107</v>
      </c>
      <c r="R276" s="207">
        <v>270</v>
      </c>
      <c r="S276" s="208"/>
      <c r="T276" s="208"/>
      <c r="U276" s="208"/>
      <c r="V276" s="208"/>
      <c r="W276" s="209"/>
      <c r="X276" s="208"/>
      <c r="AE276" s="189"/>
      <c r="AF276" s="199"/>
      <c r="AG276" s="199"/>
      <c r="AH276" s="199"/>
      <c r="AI276" s="199"/>
      <c r="AJ276" s="199"/>
      <c r="AK276" s="199"/>
    </row>
    <row r="277" spans="1:37" ht="15.75" customHeight="1">
      <c r="A277" s="191">
        <v>277</v>
      </c>
      <c r="B277" s="192"/>
      <c r="C277" s="193"/>
      <c r="D277" s="194"/>
      <c r="E277" s="194"/>
      <c r="F277" s="194">
        <f t="shared" si="4"/>
      </c>
      <c r="G277" s="192">
        <f>IF(G270="","",G270)</f>
      </c>
      <c r="H277" s="192" t="str">
        <f>IF(H270="","",H270)</f>
        <v>Хмельницька обл.</v>
      </c>
      <c r="I277" s="192">
        <f>IF(I270="","",I270)</f>
      </c>
      <c r="J277" s="378"/>
      <c r="K277" s="376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AE277" s="189"/>
      <c r="AF277" s="199"/>
      <c r="AG277" s="199"/>
      <c r="AH277" s="199"/>
      <c r="AI277" s="199"/>
      <c r="AJ277" s="199"/>
      <c r="AK277" s="199"/>
    </row>
    <row r="278" spans="1:37" ht="15.75" customHeight="1">
      <c r="A278" s="191">
        <v>278</v>
      </c>
      <c r="B278" s="192"/>
      <c r="C278" s="193"/>
      <c r="D278" s="194"/>
      <c r="E278" s="194"/>
      <c r="F278" s="194">
        <f t="shared" si="4"/>
      </c>
      <c r="G278" s="192">
        <f>IF(G270="","",G270)</f>
      </c>
      <c r="H278" s="192" t="str">
        <f>IF(H270="","",H270)</f>
        <v>Хмельницька обл.</v>
      </c>
      <c r="I278" s="192">
        <f>IF(I270="","",I270)</f>
      </c>
      <c r="J278" s="378"/>
      <c r="K278" s="376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AE278" s="189"/>
      <c r="AF278" s="199"/>
      <c r="AG278" s="199"/>
      <c r="AH278" s="199"/>
      <c r="AI278" s="199"/>
      <c r="AJ278" s="199"/>
      <c r="AK278" s="199"/>
    </row>
    <row r="279" spans="1:37" ht="15.75" customHeight="1" thickBot="1">
      <c r="A279" s="191">
        <v>279</v>
      </c>
      <c r="B279" s="192"/>
      <c r="C279" s="193"/>
      <c r="D279" s="194"/>
      <c r="E279" s="194"/>
      <c r="F279" s="194">
        <f t="shared" si="4"/>
      </c>
      <c r="G279" s="192">
        <f>IF(G270="","",G270)</f>
      </c>
      <c r="H279" s="192" t="str">
        <f>IF(H270="","",H270)</f>
        <v>Хмельницька обл.</v>
      </c>
      <c r="I279" s="192">
        <f>IF(I270="","",I270)</f>
      </c>
      <c r="J279" s="378"/>
      <c r="K279" s="376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AE279" s="189"/>
      <c r="AF279" s="199"/>
      <c r="AG279" s="199"/>
      <c r="AH279" s="199"/>
      <c r="AI279" s="199"/>
      <c r="AJ279" s="199"/>
      <c r="AK279" s="199"/>
    </row>
    <row r="280" spans="1:16" ht="15.75" customHeight="1">
      <c r="A280" s="212"/>
      <c r="B280" s="213"/>
      <c r="C280" s="214"/>
      <c r="D280" s="215"/>
      <c r="E280" s="215"/>
      <c r="F280" s="215"/>
      <c r="G280" s="213"/>
      <c r="H280" s="213"/>
      <c r="I280" s="213"/>
      <c r="J280" s="213"/>
      <c r="M280" s="5"/>
      <c r="N280" s="6"/>
      <c r="O280" s="6"/>
      <c r="P280" s="6"/>
    </row>
    <row r="281" spans="1:16" ht="15.75" customHeight="1">
      <c r="A281" s="8"/>
      <c r="B281" s="9"/>
      <c r="C281" s="10"/>
      <c r="D281" s="11"/>
      <c r="E281" s="11"/>
      <c r="F281" s="11"/>
      <c r="G281" s="9"/>
      <c r="H281" s="9"/>
      <c r="I281" s="9"/>
      <c r="J281" s="9"/>
      <c r="M281" s="5"/>
      <c r="N281" s="6"/>
      <c r="O281" s="6"/>
      <c r="P281" s="6"/>
    </row>
    <row r="282" spans="1:16" ht="15.75" customHeight="1" thickBot="1">
      <c r="A282" s="8"/>
      <c r="B282" s="9"/>
      <c r="C282" s="10"/>
      <c r="D282" s="11"/>
      <c r="E282" s="11"/>
      <c r="F282" s="11"/>
      <c r="G282" s="9" t="s">
        <v>25</v>
      </c>
      <c r="H282" s="9"/>
      <c r="I282" s="9"/>
      <c r="J282" s="9"/>
      <c r="M282" s="5"/>
      <c r="N282" s="6"/>
      <c r="O282" s="6"/>
      <c r="P282" s="6"/>
    </row>
    <row r="283" spans="1:16" ht="15.75" customHeight="1">
      <c r="A283" s="384"/>
      <c r="B283" s="216"/>
      <c r="C283" s="217"/>
      <c r="D283" s="218"/>
      <c r="E283" s="218"/>
      <c r="F283" s="218">
        <f aca="true" t="shared" si="5" ref="F283:F292">IF(RIGHT($B283,3)="вич","ч",IF(RIGHT($B283,3)="вна","ж",IF(ISBLANK($B283),"","?")))</f>
      </c>
      <c r="G283" s="216" t="s">
        <v>38</v>
      </c>
      <c r="H283" s="216"/>
      <c r="I283" s="216"/>
      <c r="J283" s="387"/>
      <c r="K283" s="374"/>
      <c r="M283" s="5"/>
      <c r="N283" s="6"/>
      <c r="O283" s="6"/>
      <c r="P283" s="6"/>
    </row>
    <row r="284" spans="1:16" ht="15.75" customHeight="1">
      <c r="A284" s="385"/>
      <c r="B284" s="219"/>
      <c r="C284" s="220"/>
      <c r="D284" s="221"/>
      <c r="E284" s="221"/>
      <c r="F284" s="221">
        <f t="shared" si="5"/>
      </c>
      <c r="G284" s="219" t="s">
        <v>38</v>
      </c>
      <c r="H284" s="219"/>
      <c r="I284" s="219"/>
      <c r="J284" s="388"/>
      <c r="K284" s="374"/>
      <c r="M284" s="5"/>
      <c r="N284" s="6"/>
      <c r="O284" s="6"/>
      <c r="P284" s="6"/>
    </row>
    <row r="285" spans="1:16" ht="15.75" customHeight="1">
      <c r="A285" s="385"/>
      <c r="B285" s="219"/>
      <c r="C285" s="220"/>
      <c r="D285" s="221"/>
      <c r="E285" s="221"/>
      <c r="F285" s="221">
        <f t="shared" si="5"/>
      </c>
      <c r="G285" s="219" t="s">
        <v>38</v>
      </c>
      <c r="H285" s="219"/>
      <c r="I285" s="219"/>
      <c r="J285" s="388"/>
      <c r="K285" s="374"/>
      <c r="M285" s="5"/>
      <c r="N285" s="6"/>
      <c r="O285" s="6"/>
      <c r="P285" s="6"/>
    </row>
    <row r="286" spans="1:16" ht="15.75" customHeight="1">
      <c r="A286" s="385"/>
      <c r="B286" s="219"/>
      <c r="C286" s="220"/>
      <c r="D286" s="221"/>
      <c r="E286" s="221"/>
      <c r="F286" s="221">
        <f t="shared" si="5"/>
      </c>
      <c r="G286" s="219" t="s">
        <v>38</v>
      </c>
      <c r="H286" s="219"/>
      <c r="I286" s="219"/>
      <c r="J286" s="388"/>
      <c r="K286" s="374"/>
      <c r="M286" s="5"/>
      <c r="N286" s="6"/>
      <c r="O286" s="6"/>
      <c r="P286" s="6"/>
    </row>
    <row r="287" spans="1:16" ht="15.75" customHeight="1">
      <c r="A287" s="385"/>
      <c r="B287" s="219"/>
      <c r="C287" s="220"/>
      <c r="D287" s="221"/>
      <c r="E287" s="221"/>
      <c r="F287" s="221">
        <f t="shared" si="5"/>
      </c>
      <c r="G287" s="219" t="s">
        <v>38</v>
      </c>
      <c r="H287" s="219"/>
      <c r="I287" s="219"/>
      <c r="J287" s="388"/>
      <c r="K287" s="374"/>
      <c r="M287" s="5"/>
      <c r="N287" s="6"/>
      <c r="O287" s="6"/>
      <c r="P287" s="6"/>
    </row>
    <row r="288" spans="1:16" ht="15.75" customHeight="1">
      <c r="A288" s="385"/>
      <c r="B288" s="219"/>
      <c r="C288" s="220"/>
      <c r="D288" s="221"/>
      <c r="E288" s="221"/>
      <c r="F288" s="221">
        <f t="shared" si="5"/>
      </c>
      <c r="G288" s="219" t="s">
        <v>38</v>
      </c>
      <c r="H288" s="219"/>
      <c r="I288" s="219"/>
      <c r="J288" s="388"/>
      <c r="K288" s="374"/>
      <c r="M288" s="5"/>
      <c r="N288" s="6"/>
      <c r="O288" s="6"/>
      <c r="P288" s="6"/>
    </row>
    <row r="289" spans="1:16" ht="15.75" customHeight="1">
      <c r="A289" s="385"/>
      <c r="B289" s="219"/>
      <c r="C289" s="220"/>
      <c r="D289" s="221"/>
      <c r="E289" s="221"/>
      <c r="F289" s="221">
        <f t="shared" si="5"/>
      </c>
      <c r="G289" s="219" t="s">
        <v>38</v>
      </c>
      <c r="H289" s="219"/>
      <c r="I289" s="219"/>
      <c r="J289" s="388"/>
      <c r="K289" s="374"/>
      <c r="M289" s="5"/>
      <c r="N289" s="6"/>
      <c r="O289" s="6"/>
      <c r="P289" s="6"/>
    </row>
    <row r="290" spans="1:16" ht="15.75" customHeight="1">
      <c r="A290" s="385"/>
      <c r="B290" s="219"/>
      <c r="C290" s="220"/>
      <c r="D290" s="221"/>
      <c r="E290" s="221"/>
      <c r="F290" s="221">
        <f t="shared" si="5"/>
      </c>
      <c r="G290" s="219" t="s">
        <v>38</v>
      </c>
      <c r="H290" s="219"/>
      <c r="I290" s="219"/>
      <c r="J290" s="388"/>
      <c r="K290" s="374"/>
      <c r="M290" s="5"/>
      <c r="N290" s="6"/>
      <c r="O290" s="6"/>
      <c r="P290" s="6"/>
    </row>
    <row r="291" spans="1:16" ht="15.75" customHeight="1">
      <c r="A291" s="385"/>
      <c r="B291" s="219"/>
      <c r="C291" s="220"/>
      <c r="D291" s="221"/>
      <c r="E291" s="221"/>
      <c r="F291" s="221">
        <f t="shared" si="5"/>
      </c>
      <c r="G291" s="219" t="s">
        <v>38</v>
      </c>
      <c r="H291" s="219"/>
      <c r="I291" s="219"/>
      <c r="J291" s="388"/>
      <c r="K291" s="374"/>
      <c r="M291" s="5"/>
      <c r="N291" s="6"/>
      <c r="O291" s="6"/>
      <c r="P291" s="6"/>
    </row>
    <row r="292" spans="1:16" ht="15.75" customHeight="1" thickBot="1">
      <c r="A292" s="386"/>
      <c r="B292" s="379"/>
      <c r="C292" s="380"/>
      <c r="D292" s="381"/>
      <c r="E292" s="381"/>
      <c r="F292" s="381">
        <f t="shared" si="5"/>
      </c>
      <c r="G292" s="379" t="s">
        <v>38</v>
      </c>
      <c r="H292" s="379"/>
      <c r="I292" s="379"/>
      <c r="J292" s="389"/>
      <c r="K292" s="374"/>
      <c r="M292" s="5"/>
      <c r="N292" s="6"/>
      <c r="O292" s="6"/>
      <c r="P292" s="6"/>
    </row>
    <row r="293" spans="1:10" ht="15.75" customHeight="1">
      <c r="A293" s="382"/>
      <c r="B293" s="382"/>
      <c r="C293" s="382"/>
      <c r="D293" s="382"/>
      <c r="E293" s="382"/>
      <c r="F293" s="382"/>
      <c r="G293" s="383"/>
      <c r="H293" s="383"/>
      <c r="I293" s="383"/>
      <c r="J293" s="383"/>
    </row>
  </sheetData>
  <sheetProtection/>
  <autoFilter ref="L9:R279"/>
  <mergeCells count="11">
    <mergeCell ref="AM19:AQ19"/>
    <mergeCell ref="AL9:AQ9"/>
    <mergeCell ref="AM10:AQ10"/>
    <mergeCell ref="AM20:AQ20"/>
    <mergeCell ref="AL21:AQ21"/>
    <mergeCell ref="AM13:AQ13"/>
    <mergeCell ref="AM14:AQ14"/>
    <mergeCell ref="AM15:AQ15"/>
    <mergeCell ref="AM16:AQ16"/>
    <mergeCell ref="AM11:AQ11"/>
    <mergeCell ref="AM12:AQ12"/>
  </mergeCells>
  <conditionalFormatting sqref="C10:C279">
    <cfRule type="expression" priority="19" dxfId="0" stopIfTrue="1">
      <formula>ISBLANK($B10)</formula>
    </cfRule>
    <cfRule type="expression" priority="21" dxfId="1" stopIfTrue="1">
      <formula>OR($C10&lt;14611,$C10&gt;35430)</formula>
    </cfRule>
  </conditionalFormatting>
  <conditionalFormatting sqref="D10:D279">
    <cfRule type="expression" priority="16" dxfId="0" stopIfTrue="1">
      <formula>ISBLANK($B10)</formula>
    </cfRule>
    <cfRule type="expression" priority="18" dxfId="1" stopIfTrue="1">
      <formula>AND($D10&lt;&gt;"б/р",$D10&lt;&gt;"ІІІ юн",$D10&lt;&gt;"ІІ юн",$D10&lt;&gt;"І юн",$D10&lt;&gt;"ІІІ",$D10&lt;&gt;"ІІ",$D10&lt;&gt;"І",$D10&lt;&gt;"КМСУ",$D10&lt;&gt;"МСУ",$D10&lt;&gt;"МСУМК")</formula>
    </cfRule>
  </conditionalFormatting>
  <conditionalFormatting sqref="F10:F279">
    <cfRule type="expression" priority="14" dxfId="0" stopIfTrue="1">
      <formula>ISBLANK($B10)</formula>
    </cfRule>
    <cfRule type="expression" priority="15" dxfId="1" stopIfTrue="1">
      <formula>$F10="?"</formula>
    </cfRule>
  </conditionalFormatting>
  <conditionalFormatting sqref="J10:J279">
    <cfRule type="expression" priority="12" dxfId="0" stopIfTrue="1">
      <formula>ISBLANK($B10)</formula>
    </cfRule>
    <cfRule type="expression" priority="13" dxfId="1" stopIfTrue="1">
      <formula>$J10=""</formula>
    </cfRule>
  </conditionalFormatting>
  <conditionalFormatting sqref="B10:B279">
    <cfRule type="expression" priority="10" dxfId="0" stopIfTrue="1">
      <formula>ISBLANK($B10)</formula>
    </cfRule>
    <cfRule type="expression" priority="11" dxfId="1" stopIfTrue="1">
      <formula>OR(ISBLANK($C10),ISBLANK($D10),ISBLANK($G10),$G10="",ISBLANK($H10),$H10="",ISBLANK($J10))</formula>
    </cfRule>
  </conditionalFormatting>
  <conditionalFormatting sqref="E10:E279">
    <cfRule type="expression" priority="7" dxfId="0" stopIfTrue="1">
      <formula>ISBLANK($B10)</formula>
    </cfRule>
    <cfRule type="expression" priority="8" dxfId="6" stopIfTrue="1">
      <formula>ISBLANK($E10)</formula>
    </cfRule>
    <cfRule type="expression" priority="9" dxfId="1" stopIfTrue="1">
      <formula>AND($E10&lt;&gt;"б/р юн",$E10&lt;&gt;"б/р",$E10&lt;&gt;"ІІІ юн",$E10&lt;&gt;"ІІ юн",$E10&lt;&gt;"І юн",$E10&lt;&gt;"ІІІ",$E10&lt;&gt;"ІІ",$E10&lt;&gt;"І",$E10&lt;&gt;"КМСУ",$E10&lt;&gt;"МСУ",$E10&lt;&gt;"МСУМК")</formula>
    </cfRule>
  </conditionalFormatting>
  <conditionalFormatting sqref="G10:G279">
    <cfRule type="expression" priority="5" dxfId="0" stopIfTrue="1">
      <formula>ISBLANK($B10)</formula>
    </cfRule>
    <cfRule type="expression" priority="6" dxfId="1" stopIfTrue="1">
      <formula>OR(ISBLANK($G10),$G10="")</formula>
    </cfRule>
  </conditionalFormatting>
  <conditionalFormatting sqref="H10:H279">
    <cfRule type="expression" priority="3" dxfId="0" stopIfTrue="1">
      <formula>ISBLANK($B10)</formula>
    </cfRule>
    <cfRule type="expression" priority="4" dxfId="1" stopIfTrue="1">
      <formula>OR(ISBLANK($H10),$H10="")</formula>
    </cfRule>
  </conditionalFormatting>
  <conditionalFormatting sqref="I10:I279 A10:A279">
    <cfRule type="expression" priority="2" dxfId="0" stopIfTrue="1">
      <formula>ISBLANK($B10)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9" horizontalDpi="200" verticalDpi="200" orientation="landscape" paperSize="9" scale="99" r:id="rId1"/>
  <rowBreaks count="8" manualBreakCount="8">
    <brk id="39" max="9" man="1"/>
    <brk id="69" max="9" man="1"/>
    <brk id="99" max="9" man="1"/>
    <brk id="129" max="9" man="1"/>
    <brk id="159" max="9" man="1"/>
    <brk id="189" max="9" man="1"/>
    <brk id="219" max="9" man="1"/>
    <brk id="24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B325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2" width="49.125" style="0" customWidth="1"/>
    <col min="3" max="6" width="9.00390625" style="0" customWidth="1"/>
  </cols>
  <sheetData>
    <row r="1" spans="1:2" ht="15" customHeight="1" thickTop="1">
      <c r="A1" s="279" t="str">
        <f>VLOOKUP(A2,'Іменні заявки'!$A:$J,7,FALSE)</f>
        <v>Білогірського р-ну</v>
      </c>
      <c r="B1" s="279" t="str">
        <f>VLOOKUP(B2,'Іменні заявки'!$A:$J,7,FALSE)</f>
        <v>Білогірського р-ну</v>
      </c>
    </row>
    <row r="2" spans="1:2" ht="104.25" customHeight="1">
      <c r="A2" s="280">
        <v>11</v>
      </c>
      <c r="B2" s="281">
        <v>12</v>
      </c>
    </row>
    <row r="3" spans="1:2" ht="15" customHeight="1" thickBot="1">
      <c r="A3" s="282" t="str">
        <f>VLOOKUP(A2,'Іменні заявки'!$A:$J,2,FALSE)</f>
        <v>Матвієць Олександр Анатолійович</v>
      </c>
      <c r="B3" s="283" t="str">
        <f>VLOOKUP(B2,'Іменні заявки'!$A:$J,2,FALSE)</f>
        <v>Мисюк Володимир Іванович</v>
      </c>
    </row>
    <row r="4" spans="1:2" ht="15" customHeight="1" thickTop="1">
      <c r="A4" s="279" t="str">
        <f>VLOOKUP(A5,'Іменні заявки'!$A:$J,7,FALSE)</f>
        <v>Білогірського р-ну</v>
      </c>
      <c r="B4" s="279" t="str">
        <f>VLOOKUP(B5,'Іменні заявки'!$A:$J,7,FALSE)</f>
        <v>Білогірського р-ну</v>
      </c>
    </row>
    <row r="5" spans="1:2" ht="104.25" customHeight="1">
      <c r="A5" s="280">
        <v>13</v>
      </c>
      <c r="B5" s="281">
        <v>14</v>
      </c>
    </row>
    <row r="6" spans="1:2" ht="15" customHeight="1" thickBot="1">
      <c r="A6" s="282" t="str">
        <f>VLOOKUP(A5,'Іменні заявки'!$A:$J,2,FALSE)</f>
        <v>Слободян Іван Володимирович</v>
      </c>
      <c r="B6" s="283" t="str">
        <f>VLOOKUP(B5,'Іменні заявки'!$A:$J,2,FALSE)</f>
        <v>Пурик Юлія Олександрівна</v>
      </c>
    </row>
    <row r="7" spans="1:2" ht="15" customHeight="1" thickTop="1">
      <c r="A7" s="279" t="str">
        <f>VLOOKUP(A8,'Іменні заявки'!$A:$J,7,FALSE)</f>
        <v>Білогірського р-ну</v>
      </c>
      <c r="B7" s="279" t="str">
        <f>VLOOKUP(B8,'Іменні заявки'!$A:$J,7,FALSE)</f>
        <v>Білогірського р-ну</v>
      </c>
    </row>
    <row r="8" spans="1:2" ht="104.25" customHeight="1">
      <c r="A8" s="280">
        <v>15</v>
      </c>
      <c r="B8" s="281">
        <v>16</v>
      </c>
    </row>
    <row r="9" spans="1:2" ht="15" customHeight="1" thickBot="1">
      <c r="A9" s="282" t="str">
        <f>VLOOKUP(A8,'Іменні заявки'!$A:$J,2,FALSE)</f>
        <v>Попенко Володимир Федорович</v>
      </c>
      <c r="B9" s="283" t="str">
        <f>VLOOKUP(B8,'Іменні заявки'!$A:$J,2,FALSE)</f>
        <v>Осіпчук Володимир Вікторович</v>
      </c>
    </row>
    <row r="10" spans="1:2" ht="15" customHeight="1" thickTop="1">
      <c r="A10" s="279" t="str">
        <f>VLOOKUP(A11,'Іменні заявки'!$A:$J,7,FALSE)</f>
        <v>Білогірського р-ну</v>
      </c>
      <c r="B10" s="279" t="str">
        <f>VLOOKUP(B11,'Іменні заявки'!$A:$J,7,FALSE)</f>
        <v>Білогірського р-ну</v>
      </c>
    </row>
    <row r="11" spans="1:2" ht="104.25" customHeight="1">
      <c r="A11" s="280">
        <v>17</v>
      </c>
      <c r="B11" s="281">
        <v>18</v>
      </c>
    </row>
    <row r="12" spans="1:2" ht="15" customHeight="1" thickBot="1">
      <c r="A12" s="282" t="str">
        <f>VLOOKUP(A11,'Іменні заявки'!$A:$J,2,FALSE)</f>
        <v>Бійчук Олександр Михайлович</v>
      </c>
      <c r="B12" s="283" t="str">
        <f>VLOOKUP(B11,'Іменні заявки'!$A:$J,2,FALSE)</f>
        <v>Швець Сергій Володимирович</v>
      </c>
    </row>
    <row r="13" spans="1:2" ht="15" customHeight="1" thickTop="1">
      <c r="A13" s="279" t="str">
        <f>VLOOKUP(A14,'Іменні заявки'!$A:$J,7,FALSE)</f>
        <v>Віньковецького р-ну</v>
      </c>
      <c r="B13" s="279" t="str">
        <f>VLOOKUP(B14,'Іменні заявки'!$A:$J,7,FALSE)</f>
        <v>Віньковецького р-ну</v>
      </c>
    </row>
    <row r="14" spans="1:2" ht="104.25" customHeight="1">
      <c r="A14" s="280">
        <f>A2+10</f>
        <v>21</v>
      </c>
      <c r="B14" s="281">
        <f>B2+10</f>
        <v>22</v>
      </c>
    </row>
    <row r="15" spans="1:2" ht="15" customHeight="1" thickBot="1">
      <c r="A15" s="282" t="str">
        <f>VLOOKUP(A14,'Іменні заявки'!$A:$J,2,FALSE)</f>
        <v>Левицький Андрій Сергійович</v>
      </c>
      <c r="B15" s="283" t="str">
        <f>VLOOKUP(B14,'Іменні заявки'!$A:$J,2,FALSE)</f>
        <v>Мороз Максим Вікторович</v>
      </c>
    </row>
    <row r="16" spans="1:2" ht="15" customHeight="1" thickTop="1">
      <c r="A16" s="279" t="str">
        <f>VLOOKUP(A17,'Іменні заявки'!$A:$J,7,FALSE)</f>
        <v>Віньковецького р-ну</v>
      </c>
      <c r="B16" s="279" t="str">
        <f>VLOOKUP(B17,'Іменні заявки'!$A:$J,7,FALSE)</f>
        <v>Віньковецького р-ну</v>
      </c>
    </row>
    <row r="17" spans="1:2" ht="104.25" customHeight="1">
      <c r="A17" s="280">
        <f>A5+10</f>
        <v>23</v>
      </c>
      <c r="B17" s="281">
        <f>B5+10</f>
        <v>24</v>
      </c>
    </row>
    <row r="18" spans="1:2" ht="15" customHeight="1" thickBot="1">
      <c r="A18" s="282" t="str">
        <f>VLOOKUP(A17,'Іменні заявки'!$A:$J,2,FALSE)</f>
        <v>Гонголь Оксана Василівна</v>
      </c>
      <c r="B18" s="283" t="str">
        <f>VLOOKUP(B17,'Іменні заявки'!$A:$J,2,FALSE)</f>
        <v>Козар Тетяна Василівна</v>
      </c>
    </row>
    <row r="19" spans="1:2" ht="15" customHeight="1" thickTop="1">
      <c r="A19" s="279" t="str">
        <f>VLOOKUP(A20,'Іменні заявки'!$A:$J,7,FALSE)</f>
        <v>Віньковецького р-ну</v>
      </c>
      <c r="B19" s="279" t="str">
        <f>VLOOKUP(B20,'Іменні заявки'!$A:$J,7,FALSE)</f>
        <v>Віньковецького р-ну</v>
      </c>
    </row>
    <row r="20" spans="1:2" ht="104.25" customHeight="1">
      <c r="A20" s="280">
        <f>A8+10</f>
        <v>25</v>
      </c>
      <c r="B20" s="281">
        <f>B8+10</f>
        <v>26</v>
      </c>
    </row>
    <row r="21" spans="1:2" ht="15" customHeight="1" thickBot="1">
      <c r="A21" s="282" t="str">
        <f>VLOOKUP(A20,'Іменні заявки'!$A:$J,2,FALSE)</f>
        <v>Ноняк Ігор Михайлович</v>
      </c>
      <c r="B21" s="283" t="str">
        <f>VLOOKUP(B20,'Іменні заявки'!$A:$J,2,FALSE)</f>
        <v>Кукурудза Ігор Володимирович</v>
      </c>
    </row>
    <row r="22" spans="1:2" ht="15" customHeight="1" thickTop="1">
      <c r="A22" s="279" t="str">
        <f>VLOOKUP(A23,'Іменні заявки'!$A:$J,7,FALSE)</f>
        <v>Віньковецького р-ну</v>
      </c>
      <c r="B22" s="279" t="str">
        <f>VLOOKUP(B23,'Іменні заявки'!$A:$J,7,FALSE)</f>
        <v>Віньковецького р-ну</v>
      </c>
    </row>
    <row r="23" spans="1:2" ht="104.25" customHeight="1">
      <c r="A23" s="280">
        <f>A11+10</f>
        <v>27</v>
      </c>
      <c r="B23" s="281">
        <f>B11+10</f>
        <v>28</v>
      </c>
    </row>
    <row r="24" spans="1:2" ht="15" customHeight="1" thickBot="1">
      <c r="A24" s="282" t="str">
        <f>VLOOKUP(A23,'Іменні заявки'!$A:$J,2,FALSE)</f>
        <v>Кукурудза Вікторія Олегівна</v>
      </c>
      <c r="B24" s="283">
        <f>VLOOKUP(B23,'Іменні заявки'!$A:$J,2,FALSE)</f>
        <v>0</v>
      </c>
    </row>
    <row r="25" spans="1:2" ht="15" customHeight="1" thickTop="1">
      <c r="A25" s="279">
        <f>VLOOKUP(A26,'Іменні заявки'!$A:$J,7,FALSE)</f>
      </c>
      <c r="B25" s="279">
        <f>VLOOKUP(B26,'Іменні заявки'!$A:$J,7,FALSE)</f>
      </c>
    </row>
    <row r="26" spans="1:2" ht="104.25" customHeight="1">
      <c r="A26" s="280">
        <f>A14+10</f>
        <v>31</v>
      </c>
      <c r="B26" s="281">
        <f>B14+10</f>
        <v>32</v>
      </c>
    </row>
    <row r="27" spans="1:2" ht="15" customHeight="1" thickBot="1">
      <c r="A27" s="282">
        <f>VLOOKUP(A26,'Іменні заявки'!$A:$J,2,FALSE)</f>
        <v>0</v>
      </c>
      <c r="B27" s="283">
        <f>VLOOKUP(B26,'Іменні заявки'!$A:$J,2,FALSE)</f>
        <v>0</v>
      </c>
    </row>
    <row r="28" spans="1:2" ht="15" customHeight="1" thickTop="1">
      <c r="A28" s="279">
        <f>VLOOKUP(A29,'Іменні заявки'!$A:$J,7,FALSE)</f>
      </c>
      <c r="B28" s="279">
        <f>VLOOKUP(B29,'Іменні заявки'!$A:$J,7,FALSE)</f>
      </c>
    </row>
    <row r="29" spans="1:2" ht="104.25" customHeight="1">
      <c r="A29" s="280">
        <f>A17+10</f>
        <v>33</v>
      </c>
      <c r="B29" s="281">
        <f>B17+10</f>
        <v>34</v>
      </c>
    </row>
    <row r="30" spans="1:2" ht="15" customHeight="1" thickBot="1">
      <c r="A30" s="282">
        <f>VLOOKUP(A29,'Іменні заявки'!$A:$J,2,FALSE)</f>
        <v>0</v>
      </c>
      <c r="B30" s="283">
        <f>VLOOKUP(B29,'Іменні заявки'!$A:$J,2,FALSE)</f>
        <v>0</v>
      </c>
    </row>
    <row r="31" spans="1:2" ht="15" customHeight="1" thickTop="1">
      <c r="A31" s="279">
        <f>VLOOKUP(A32,'Іменні заявки'!$A:$J,7,FALSE)</f>
      </c>
      <c r="B31" s="279">
        <f>VLOOKUP(B32,'Іменні заявки'!$A:$J,7,FALSE)</f>
      </c>
    </row>
    <row r="32" spans="1:2" ht="104.25" customHeight="1">
      <c r="A32" s="280">
        <f>A20+10</f>
        <v>35</v>
      </c>
      <c r="B32" s="281">
        <f>B20+10</f>
        <v>36</v>
      </c>
    </row>
    <row r="33" spans="1:2" ht="15" customHeight="1" thickBot="1">
      <c r="A33" s="282">
        <f>VLOOKUP(A32,'Іменні заявки'!$A:$J,2,FALSE)</f>
        <v>0</v>
      </c>
      <c r="B33" s="283">
        <f>VLOOKUP(B32,'Іменні заявки'!$A:$J,2,FALSE)</f>
        <v>0</v>
      </c>
    </row>
    <row r="34" spans="1:2" ht="15" customHeight="1" thickTop="1">
      <c r="A34" s="279">
        <f>VLOOKUP(A35,'Іменні заявки'!$A:$J,7,FALSE)</f>
      </c>
      <c r="B34" s="279">
        <f>VLOOKUP(B35,'Іменні заявки'!$A:$J,7,FALSE)</f>
      </c>
    </row>
    <row r="35" spans="1:2" ht="104.25" customHeight="1">
      <c r="A35" s="280">
        <f>A23+10</f>
        <v>37</v>
      </c>
      <c r="B35" s="281">
        <f>B23+10</f>
        <v>38</v>
      </c>
    </row>
    <row r="36" spans="1:2" ht="15" customHeight="1" thickBot="1">
      <c r="A36" s="282">
        <f>VLOOKUP(A35,'Іменні заявки'!$A:$J,2,FALSE)</f>
        <v>0</v>
      </c>
      <c r="B36" s="283">
        <f>VLOOKUP(B35,'Іменні заявки'!$A:$J,2,FALSE)</f>
        <v>0</v>
      </c>
    </row>
    <row r="37" spans="1:2" ht="15" customHeight="1" thickTop="1">
      <c r="A37" s="279">
        <f>VLOOKUP(A38,'Іменні заявки'!$A:$J,7,FALSE)</f>
      </c>
      <c r="B37" s="279">
        <f>VLOOKUP(B38,'Іменні заявки'!$A:$J,7,FALSE)</f>
      </c>
    </row>
    <row r="38" spans="1:2" ht="104.25" customHeight="1">
      <c r="A38" s="280">
        <f>A26+10</f>
        <v>41</v>
      </c>
      <c r="B38" s="281">
        <f>B26+10</f>
        <v>42</v>
      </c>
    </row>
    <row r="39" spans="1:2" ht="15" customHeight="1" thickBot="1">
      <c r="A39" s="282">
        <f>VLOOKUP(A38,'Іменні заявки'!$A:$J,2,FALSE)</f>
        <v>0</v>
      </c>
      <c r="B39" s="283">
        <f>VLOOKUP(B38,'Іменні заявки'!$A:$J,2,FALSE)</f>
        <v>0</v>
      </c>
    </row>
    <row r="40" spans="1:2" ht="15" customHeight="1" thickTop="1">
      <c r="A40" s="279">
        <f>VLOOKUP(A41,'Іменні заявки'!$A:$J,7,FALSE)</f>
      </c>
      <c r="B40" s="279">
        <f>VLOOKUP(B41,'Іменні заявки'!$A:$J,7,FALSE)</f>
      </c>
    </row>
    <row r="41" spans="1:2" ht="104.25" customHeight="1">
      <c r="A41" s="280">
        <f>A29+10</f>
        <v>43</v>
      </c>
      <c r="B41" s="281">
        <f>B29+10</f>
        <v>44</v>
      </c>
    </row>
    <row r="42" spans="1:2" ht="15" customHeight="1" thickBot="1">
      <c r="A42" s="282">
        <f>VLOOKUP(A41,'Іменні заявки'!$A:$J,2,FALSE)</f>
        <v>0</v>
      </c>
      <c r="B42" s="283">
        <f>VLOOKUP(B41,'Іменні заявки'!$A:$J,2,FALSE)</f>
        <v>0</v>
      </c>
    </row>
    <row r="43" spans="1:2" ht="15" customHeight="1" thickTop="1">
      <c r="A43" s="279">
        <f>VLOOKUP(A44,'Іменні заявки'!$A:$J,7,FALSE)</f>
      </c>
      <c r="B43" s="279">
        <f>VLOOKUP(B44,'Іменні заявки'!$A:$J,7,FALSE)</f>
      </c>
    </row>
    <row r="44" spans="1:2" ht="104.25" customHeight="1">
      <c r="A44" s="280">
        <f>A32+10</f>
        <v>45</v>
      </c>
      <c r="B44" s="281">
        <f>B32+10</f>
        <v>46</v>
      </c>
    </row>
    <row r="45" spans="1:2" ht="15" customHeight="1" thickBot="1">
      <c r="A45" s="282">
        <f>VLOOKUP(A44,'Іменні заявки'!$A:$J,2,FALSE)</f>
        <v>0</v>
      </c>
      <c r="B45" s="283">
        <f>VLOOKUP(B44,'Іменні заявки'!$A:$J,2,FALSE)</f>
        <v>0</v>
      </c>
    </row>
    <row r="46" spans="1:2" ht="15" customHeight="1" thickTop="1">
      <c r="A46" s="279">
        <f>VLOOKUP(A47,'Іменні заявки'!$A:$J,7,FALSE)</f>
      </c>
      <c r="B46" s="279">
        <f>VLOOKUP(B47,'Іменні заявки'!$A:$J,7,FALSE)</f>
      </c>
    </row>
    <row r="47" spans="1:2" ht="104.25" customHeight="1">
      <c r="A47" s="280">
        <f>A35+10</f>
        <v>47</v>
      </c>
      <c r="B47" s="281">
        <f>B35+10</f>
        <v>48</v>
      </c>
    </row>
    <row r="48" spans="1:2" ht="15" customHeight="1" thickBot="1">
      <c r="A48" s="282">
        <f>VLOOKUP(A47,'Іменні заявки'!$A:$J,2,FALSE)</f>
        <v>0</v>
      </c>
      <c r="B48" s="283">
        <f>VLOOKUP(B47,'Іменні заявки'!$A:$J,2,FALSE)</f>
        <v>0</v>
      </c>
    </row>
    <row r="49" spans="1:2" ht="15" customHeight="1" thickTop="1">
      <c r="A49" s="279" t="str">
        <f>VLOOKUP(A50,'Іменні заявки'!$A:$J,7,FALSE)</f>
        <v>Деражнянського р-ну</v>
      </c>
      <c r="B49" s="279" t="str">
        <f>VLOOKUP(B50,'Іменні заявки'!$A:$J,7,FALSE)</f>
        <v>Деражнянського р-ну</v>
      </c>
    </row>
    <row r="50" spans="1:2" ht="104.25" customHeight="1">
      <c r="A50" s="280">
        <f>A38+10</f>
        <v>51</v>
      </c>
      <c r="B50" s="281">
        <f>B38+10</f>
        <v>52</v>
      </c>
    </row>
    <row r="51" spans="1:2" ht="15" customHeight="1" thickBot="1">
      <c r="A51" s="282" t="str">
        <f>VLOOKUP(A50,'Іменні заявки'!$A:$J,2,FALSE)</f>
        <v>Скорбатюк Олег Олегович</v>
      </c>
      <c r="B51" s="283" t="str">
        <f>VLOOKUP(B50,'Іменні заявки'!$A:$J,2,FALSE)</f>
        <v>Савіцька Юлія Віталіївна</v>
      </c>
    </row>
    <row r="52" spans="1:2" ht="15" customHeight="1" thickTop="1">
      <c r="A52" s="279" t="str">
        <f>VLOOKUP(A53,'Іменні заявки'!$A:$J,7,FALSE)</f>
        <v>Деражнянського р-ну</v>
      </c>
      <c r="B52" s="279" t="str">
        <f>VLOOKUP(B53,'Іменні заявки'!$A:$J,7,FALSE)</f>
        <v>Деражнянського р-ну</v>
      </c>
    </row>
    <row r="53" spans="1:2" ht="104.25" customHeight="1">
      <c r="A53" s="280">
        <f>A41+10</f>
        <v>53</v>
      </c>
      <c r="B53" s="281">
        <f>B41+10</f>
        <v>54</v>
      </c>
    </row>
    <row r="54" spans="1:2" ht="15" customHeight="1" thickBot="1">
      <c r="A54" s="282" t="str">
        <f>VLOOKUP(A53,'Іменні заявки'!$A:$J,2,FALSE)</f>
        <v>Мондра Наталія Василівна</v>
      </c>
      <c r="B54" s="283" t="str">
        <f>VLOOKUP(B53,'Іменні заявки'!$A:$J,2,FALSE)</f>
        <v>Яворський Валерій Юрійович</v>
      </c>
    </row>
    <row r="55" spans="1:2" ht="15" customHeight="1" thickTop="1">
      <c r="A55" s="279" t="str">
        <f>VLOOKUP(A56,'Іменні заявки'!$A:$J,7,FALSE)</f>
        <v>Деражнянського р-ну</v>
      </c>
      <c r="B55" s="279" t="str">
        <f>VLOOKUP(B56,'Іменні заявки'!$A:$J,7,FALSE)</f>
        <v>Деражнянського р-ну</v>
      </c>
    </row>
    <row r="56" spans="1:2" ht="104.25" customHeight="1">
      <c r="A56" s="280">
        <f>A44+10</f>
        <v>55</v>
      </c>
      <c r="B56" s="281">
        <f>B44+10</f>
        <v>56</v>
      </c>
    </row>
    <row r="57" spans="1:2" ht="15" customHeight="1" thickBot="1">
      <c r="A57" s="282" t="str">
        <f>VLOOKUP(A56,'Іменні заявки'!$A:$J,2,FALSE)</f>
        <v>Гарбар Анна Вікторівна</v>
      </c>
      <c r="B57" s="283" t="str">
        <f>VLOOKUP(B56,'Іменні заявки'!$A:$J,2,FALSE)</f>
        <v>Мазур Віталій Миколайович</v>
      </c>
    </row>
    <row r="58" spans="1:2" ht="15" customHeight="1" thickTop="1">
      <c r="A58" s="279" t="str">
        <f>VLOOKUP(A59,'Іменні заявки'!$A:$J,7,FALSE)</f>
        <v>Деражнянського р-ну</v>
      </c>
      <c r="B58" s="279" t="str">
        <f>VLOOKUP(B59,'Іменні заявки'!$A:$J,7,FALSE)</f>
        <v>Деражнянського р-ну</v>
      </c>
    </row>
    <row r="59" spans="1:2" ht="104.25" customHeight="1">
      <c r="A59" s="280">
        <f>A47+10</f>
        <v>57</v>
      </c>
      <c r="B59" s="281">
        <f>B47+10</f>
        <v>58</v>
      </c>
    </row>
    <row r="60" spans="1:2" ht="15" customHeight="1" thickBot="1">
      <c r="A60" s="282" t="str">
        <f>VLOOKUP(A59,'Іменні заявки'!$A:$J,2,FALSE)</f>
        <v>Дубровський Андрій Іванович</v>
      </c>
      <c r="B60" s="283">
        <f>VLOOKUP(B59,'Іменні заявки'!$A:$J,2,FALSE)</f>
        <v>0</v>
      </c>
    </row>
    <row r="61" spans="1:2" ht="15" customHeight="1" thickTop="1">
      <c r="A61" s="279" t="str">
        <f>VLOOKUP(A62,'Іменні заявки'!$A:$J,7,FALSE)</f>
        <v>Дунаєвецького р-ну</v>
      </c>
      <c r="B61" s="279" t="str">
        <f>VLOOKUP(B62,'Іменні заявки'!$A:$J,7,FALSE)</f>
        <v>Дунаєвецького р-ну</v>
      </c>
    </row>
    <row r="62" spans="1:2" ht="104.25" customHeight="1">
      <c r="A62" s="280">
        <f>A50+10</f>
        <v>61</v>
      </c>
      <c r="B62" s="281">
        <f>B50+10</f>
        <v>62</v>
      </c>
    </row>
    <row r="63" spans="1:2" ht="15" customHeight="1" thickBot="1">
      <c r="A63" s="282" t="str">
        <f>VLOOKUP(A62,'Іменні заявки'!$A:$J,2,FALSE)</f>
        <v>Хитрюк Ігор Владиславович</v>
      </c>
      <c r="B63" s="283" t="str">
        <f>VLOOKUP(B62,'Іменні заявки'!$A:$J,2,FALSE)</f>
        <v>Заторжинський Олександр Михайлович</v>
      </c>
    </row>
    <row r="64" spans="1:2" ht="15" customHeight="1" thickTop="1">
      <c r="A64" s="279" t="str">
        <f>VLOOKUP(A65,'Іменні заявки'!$A:$J,7,FALSE)</f>
        <v>Дунаєвецького р-ну</v>
      </c>
      <c r="B64" s="279" t="str">
        <f>VLOOKUP(B65,'Іменні заявки'!$A:$J,7,FALSE)</f>
        <v>Дунаєвецького р-ну</v>
      </c>
    </row>
    <row r="65" spans="1:2" ht="104.25" customHeight="1">
      <c r="A65" s="280">
        <f>A53+10</f>
        <v>63</v>
      </c>
      <c r="B65" s="281">
        <f>B53+10</f>
        <v>64</v>
      </c>
    </row>
    <row r="66" spans="1:2" ht="15" customHeight="1" thickBot="1">
      <c r="A66" s="282" t="str">
        <f>VLOOKUP(A65,'Іменні заявки'!$A:$J,2,FALSE)</f>
        <v>Червоняк Володимир Михайлович</v>
      </c>
      <c r="B66" s="283" t="str">
        <f>VLOOKUP(B65,'Іменні заявки'!$A:$J,2,FALSE)</f>
        <v>Марценюк Злата Михайлівна</v>
      </c>
    </row>
    <row r="67" spans="1:2" ht="15" customHeight="1" thickTop="1">
      <c r="A67" s="279" t="str">
        <f>VLOOKUP(A68,'Іменні заявки'!$A:$J,7,FALSE)</f>
        <v>Дунаєвецького р-ну</v>
      </c>
      <c r="B67" s="279" t="str">
        <f>VLOOKUP(B68,'Іменні заявки'!$A:$J,7,FALSE)</f>
        <v>Дунаєвецького р-ну</v>
      </c>
    </row>
    <row r="68" spans="1:2" ht="104.25" customHeight="1">
      <c r="A68" s="280">
        <f>A56+10</f>
        <v>65</v>
      </c>
      <c r="B68" s="281">
        <f>B56+10</f>
        <v>66</v>
      </c>
    </row>
    <row r="69" spans="1:2" ht="15" customHeight="1" thickBot="1">
      <c r="A69" s="282" t="str">
        <f>VLOOKUP(A68,'Іменні заявки'!$A:$J,2,FALSE)</f>
        <v>Підлісний Григорій Володимирович</v>
      </c>
      <c r="B69" s="283" t="str">
        <f>VLOOKUP(B68,'Іменні заявки'!$A:$J,2,FALSE)</f>
        <v>Швець Олександр Олександрович</v>
      </c>
    </row>
    <row r="70" spans="1:2" ht="15" customHeight="1" thickTop="1">
      <c r="A70" s="279" t="str">
        <f>VLOOKUP(A71,'Іменні заявки'!$A:$J,7,FALSE)</f>
        <v>Дунаєвецького р-ну</v>
      </c>
      <c r="B70" s="279" t="str">
        <f>VLOOKUP(B71,'Іменні заявки'!$A:$J,7,FALSE)</f>
        <v>Дунаєвецького р-ну</v>
      </c>
    </row>
    <row r="71" spans="1:2" ht="104.25" customHeight="1">
      <c r="A71" s="280">
        <f>A59+10</f>
        <v>67</v>
      </c>
      <c r="B71" s="281">
        <f>B59+10</f>
        <v>68</v>
      </c>
    </row>
    <row r="72" spans="1:2" ht="15" customHeight="1" thickBot="1">
      <c r="A72" s="282" t="str">
        <f>VLOOKUP(A71,'Іменні заявки'!$A:$J,2,FALSE)</f>
        <v>Крупник Артур Юрійович</v>
      </c>
      <c r="B72" s="283" t="str">
        <f>VLOOKUP(B71,'Іменні заявки'!$A:$J,2,FALSE)</f>
        <v>Лавренюк Ірина Анатоліївна</v>
      </c>
    </row>
    <row r="73" spans="1:2" ht="15" customHeight="1" thickTop="1">
      <c r="A73" s="279">
        <f>VLOOKUP(A74,'Іменні заявки'!$A:$J,7,FALSE)</f>
      </c>
      <c r="B73" s="279">
        <f>VLOOKUP(B74,'Іменні заявки'!$A:$J,7,FALSE)</f>
      </c>
    </row>
    <row r="74" spans="1:2" ht="104.25" customHeight="1">
      <c r="A74" s="280">
        <f>A62+10</f>
        <v>71</v>
      </c>
      <c r="B74" s="281">
        <f>B62+10</f>
        <v>72</v>
      </c>
    </row>
    <row r="75" spans="1:2" ht="15" customHeight="1" thickBot="1">
      <c r="A75" s="282">
        <f>VLOOKUP(A74,'Іменні заявки'!$A:$J,2,FALSE)</f>
        <v>0</v>
      </c>
      <c r="B75" s="283">
        <f>VLOOKUP(B74,'Іменні заявки'!$A:$J,2,FALSE)</f>
        <v>0</v>
      </c>
    </row>
    <row r="76" spans="1:2" ht="15" customHeight="1" thickTop="1">
      <c r="A76" s="279">
        <f>VLOOKUP(A77,'Іменні заявки'!$A:$J,7,FALSE)</f>
      </c>
      <c r="B76" s="279">
        <f>VLOOKUP(B77,'Іменні заявки'!$A:$J,7,FALSE)</f>
      </c>
    </row>
    <row r="77" spans="1:2" ht="104.25" customHeight="1">
      <c r="A77" s="280">
        <f>A65+10</f>
        <v>73</v>
      </c>
      <c r="B77" s="281">
        <f>B65+10</f>
        <v>74</v>
      </c>
    </row>
    <row r="78" spans="1:2" ht="15" customHeight="1" thickBot="1">
      <c r="A78" s="282">
        <f>VLOOKUP(A77,'Іменні заявки'!$A:$J,2,FALSE)</f>
        <v>0</v>
      </c>
      <c r="B78" s="283">
        <f>VLOOKUP(B77,'Іменні заявки'!$A:$J,2,FALSE)</f>
        <v>0</v>
      </c>
    </row>
    <row r="79" spans="1:2" ht="15" customHeight="1" thickTop="1">
      <c r="A79" s="279">
        <f>VLOOKUP(A80,'Іменні заявки'!$A:$J,7,FALSE)</f>
      </c>
      <c r="B79" s="279">
        <f>VLOOKUP(B80,'Іменні заявки'!$A:$J,7,FALSE)</f>
      </c>
    </row>
    <row r="80" spans="1:2" ht="104.25" customHeight="1">
      <c r="A80" s="280">
        <f>A68+10</f>
        <v>75</v>
      </c>
      <c r="B80" s="281">
        <f>B68+10</f>
        <v>76</v>
      </c>
    </row>
    <row r="81" spans="1:2" ht="15" customHeight="1" thickBot="1">
      <c r="A81" s="282">
        <f>VLOOKUP(A80,'Іменні заявки'!$A:$J,2,FALSE)</f>
        <v>0</v>
      </c>
      <c r="B81" s="283">
        <f>VLOOKUP(B80,'Іменні заявки'!$A:$J,2,FALSE)</f>
        <v>0</v>
      </c>
    </row>
    <row r="82" spans="1:2" ht="15" customHeight="1" thickTop="1">
      <c r="A82" s="279">
        <f>VLOOKUP(A83,'Іменні заявки'!$A:$J,7,FALSE)</f>
      </c>
      <c r="B82" s="279">
        <f>VLOOKUP(B83,'Іменні заявки'!$A:$J,7,FALSE)</f>
      </c>
    </row>
    <row r="83" spans="1:2" ht="104.25" customHeight="1">
      <c r="A83" s="280">
        <f>A71+10</f>
        <v>77</v>
      </c>
      <c r="B83" s="281">
        <f>B71+10</f>
        <v>78</v>
      </c>
    </row>
    <row r="84" spans="1:2" ht="15" customHeight="1" thickBot="1">
      <c r="A84" s="282">
        <f>VLOOKUP(A83,'Іменні заявки'!$A:$J,2,FALSE)</f>
        <v>0</v>
      </c>
      <c r="B84" s="283">
        <f>VLOOKUP(B83,'Іменні заявки'!$A:$J,2,FALSE)</f>
        <v>0</v>
      </c>
    </row>
    <row r="85" spans="1:2" ht="15" customHeight="1" thickTop="1">
      <c r="A85" s="279">
        <f>VLOOKUP(A86,'Іменні заявки'!$A:$J,7,FALSE)</f>
      </c>
      <c r="B85" s="279">
        <f>VLOOKUP(B86,'Іменні заявки'!$A:$J,7,FALSE)</f>
      </c>
    </row>
    <row r="86" spans="1:2" ht="104.25" customHeight="1">
      <c r="A86" s="280">
        <f>A74+10</f>
        <v>81</v>
      </c>
      <c r="B86" s="281">
        <f>B74+10</f>
        <v>82</v>
      </c>
    </row>
    <row r="87" spans="1:2" ht="15" customHeight="1" thickBot="1">
      <c r="A87" s="282">
        <f>VLOOKUP(A86,'Іменні заявки'!$A:$J,2,FALSE)</f>
        <v>0</v>
      </c>
      <c r="B87" s="283">
        <f>VLOOKUP(B86,'Іменні заявки'!$A:$J,2,FALSE)</f>
        <v>0</v>
      </c>
    </row>
    <row r="88" spans="1:2" ht="15" customHeight="1" thickTop="1">
      <c r="A88" s="279">
        <f>VLOOKUP(A89,'Іменні заявки'!$A:$J,7,FALSE)</f>
      </c>
      <c r="B88" s="279">
        <f>VLOOKUP(B89,'Іменні заявки'!$A:$J,7,FALSE)</f>
      </c>
    </row>
    <row r="89" spans="1:2" ht="104.25" customHeight="1">
      <c r="A89" s="280">
        <f>A77+10</f>
        <v>83</v>
      </c>
      <c r="B89" s="281">
        <f>B77+10</f>
        <v>84</v>
      </c>
    </row>
    <row r="90" spans="1:2" ht="15" customHeight="1" thickBot="1">
      <c r="A90" s="282">
        <f>VLOOKUP(A89,'Іменні заявки'!$A:$J,2,FALSE)</f>
        <v>0</v>
      </c>
      <c r="B90" s="283">
        <f>VLOOKUP(B89,'Іменні заявки'!$A:$J,2,FALSE)</f>
        <v>0</v>
      </c>
    </row>
    <row r="91" spans="1:2" ht="15" customHeight="1" thickTop="1">
      <c r="A91" s="279">
        <f>VLOOKUP(A92,'Іменні заявки'!$A:$J,7,FALSE)</f>
      </c>
      <c r="B91" s="279">
        <f>VLOOKUP(B92,'Іменні заявки'!$A:$J,7,FALSE)</f>
      </c>
    </row>
    <row r="92" spans="1:2" ht="104.25" customHeight="1">
      <c r="A92" s="280">
        <f>A80+10</f>
        <v>85</v>
      </c>
      <c r="B92" s="281">
        <f>B80+10</f>
        <v>86</v>
      </c>
    </row>
    <row r="93" spans="1:2" ht="15" customHeight="1" thickBot="1">
      <c r="A93" s="282">
        <f>VLOOKUP(A92,'Іменні заявки'!$A:$J,2,FALSE)</f>
        <v>0</v>
      </c>
      <c r="B93" s="283">
        <f>VLOOKUP(B92,'Іменні заявки'!$A:$J,2,FALSE)</f>
        <v>0</v>
      </c>
    </row>
    <row r="94" spans="1:2" ht="15" customHeight="1" thickTop="1">
      <c r="A94" s="279">
        <f>VLOOKUP(A95,'Іменні заявки'!$A:$J,7,FALSE)</f>
      </c>
      <c r="B94" s="279">
        <f>VLOOKUP(B95,'Іменні заявки'!$A:$J,7,FALSE)</f>
      </c>
    </row>
    <row r="95" spans="1:2" ht="104.25" customHeight="1">
      <c r="A95" s="280">
        <f>A83+10</f>
        <v>87</v>
      </c>
      <c r="B95" s="281">
        <f>B83+10</f>
        <v>88</v>
      </c>
    </row>
    <row r="96" spans="1:2" ht="15" customHeight="1" thickBot="1">
      <c r="A96" s="282">
        <f>VLOOKUP(A95,'Іменні заявки'!$A:$J,2,FALSE)</f>
        <v>0</v>
      </c>
      <c r="B96" s="283">
        <f>VLOOKUP(B95,'Іменні заявки'!$A:$J,2,FALSE)</f>
        <v>0</v>
      </c>
    </row>
    <row r="97" spans="1:2" ht="15" customHeight="1" thickTop="1">
      <c r="A97" s="279" t="str">
        <f>VLOOKUP(A98,'Іменні заявки'!$A:$J,7,FALSE)</f>
        <v>Красилівського р-ну</v>
      </c>
      <c r="B97" s="279" t="str">
        <f>VLOOKUP(B98,'Іменні заявки'!$A:$J,7,FALSE)</f>
        <v>Красилівського р-ну</v>
      </c>
    </row>
    <row r="98" spans="1:2" ht="104.25" customHeight="1">
      <c r="A98" s="280">
        <f>A86+10</f>
        <v>91</v>
      </c>
      <c r="B98" s="281">
        <f>B86+10</f>
        <v>92</v>
      </c>
    </row>
    <row r="99" spans="1:2" ht="15" customHeight="1" thickBot="1">
      <c r="A99" s="282" t="str">
        <f>VLOOKUP(A98,'Іменні заявки'!$A:$J,2,FALSE)</f>
        <v>Андрійчук Борис Володимирович</v>
      </c>
      <c r="B99" s="283" t="str">
        <f>VLOOKUP(B98,'Іменні заявки'!$A:$J,2,FALSE)</f>
        <v>Тустановський Микола Володимирович</v>
      </c>
    </row>
    <row r="100" spans="1:2" ht="15" customHeight="1" thickTop="1">
      <c r="A100" s="279" t="str">
        <f>VLOOKUP(A101,'Іменні заявки'!$A:$J,7,FALSE)</f>
        <v>Красилівського р-ну</v>
      </c>
      <c r="B100" s="279" t="str">
        <f>VLOOKUP(B101,'Іменні заявки'!$A:$J,7,FALSE)</f>
        <v>Красилівського р-ну</v>
      </c>
    </row>
    <row r="101" spans="1:2" ht="104.25" customHeight="1">
      <c r="A101" s="280">
        <f>A89+10</f>
        <v>93</v>
      </c>
      <c r="B101" s="281">
        <f>B89+10</f>
        <v>94</v>
      </c>
    </row>
    <row r="102" spans="1:2" ht="15" customHeight="1" thickBot="1">
      <c r="A102" s="282" t="str">
        <f>VLOOKUP(A101,'Іменні заявки'!$A:$J,2,FALSE)</f>
        <v>Гебда Ольга Анатоліївна</v>
      </c>
      <c r="B102" s="283" t="str">
        <f>VLOOKUP(B101,'Іменні заявки'!$A:$J,2,FALSE)</f>
        <v>Мироненко Василь Олександрович</v>
      </c>
    </row>
    <row r="103" spans="1:2" ht="15" customHeight="1" thickTop="1">
      <c r="A103" s="279" t="str">
        <f>VLOOKUP(A104,'Іменні заявки'!$A:$J,7,FALSE)</f>
        <v>Красилівського р-ну</v>
      </c>
      <c r="B103" s="279" t="str">
        <f>VLOOKUP(B104,'Іменні заявки'!$A:$J,7,FALSE)</f>
        <v>Красилівського р-ну</v>
      </c>
    </row>
    <row r="104" spans="1:2" ht="104.25" customHeight="1">
      <c r="A104" s="280">
        <f>A92+10</f>
        <v>95</v>
      </c>
      <c r="B104" s="281">
        <f>B92+10</f>
        <v>96</v>
      </c>
    </row>
    <row r="105" spans="1:2" ht="15" customHeight="1" thickBot="1">
      <c r="A105" s="282" t="str">
        <f>VLOOKUP(A104,'Іменні заявки'!$A:$J,2,FALSE)</f>
        <v>Данилюк Ілона Юріївна</v>
      </c>
      <c r="B105" s="283" t="str">
        <f>VLOOKUP(B104,'Іменні заявки'!$A:$J,2,FALSE)</f>
        <v>Теслик Анатолій Петрович</v>
      </c>
    </row>
    <row r="106" spans="1:2" ht="15" customHeight="1" thickTop="1">
      <c r="A106" s="279" t="str">
        <f>VLOOKUP(A107,'Іменні заявки'!$A:$J,7,FALSE)</f>
        <v>Красилівського р-ну</v>
      </c>
      <c r="B106" s="279" t="str">
        <f>VLOOKUP(B107,'Іменні заявки'!$A:$J,7,FALSE)</f>
        <v>Красилівського р-ну</v>
      </c>
    </row>
    <row r="107" spans="1:2" ht="104.25" customHeight="1">
      <c r="A107" s="280">
        <f>A95+10</f>
        <v>97</v>
      </c>
      <c r="B107" s="281">
        <f>B95+10</f>
        <v>98</v>
      </c>
    </row>
    <row r="108" spans="1:2" ht="15" customHeight="1" thickBot="1">
      <c r="A108" s="282" t="str">
        <f>VLOOKUP(A107,'Іменні заявки'!$A:$J,2,FALSE)</f>
        <v>Поліщук Сергій Анатолійович</v>
      </c>
      <c r="B108" s="283">
        <f>VLOOKUP(B107,'Іменні заявки'!$A:$J,2,FALSE)</f>
        <v>0</v>
      </c>
    </row>
    <row r="109" spans="1:2" ht="15" customHeight="1" thickTop="1">
      <c r="A109" s="279">
        <f>VLOOKUP(A110,'Іменні заявки'!$A:$J,7,FALSE)</f>
      </c>
      <c r="B109" s="279">
        <f>VLOOKUP(B110,'Іменні заявки'!$A:$J,7,FALSE)</f>
      </c>
    </row>
    <row r="110" spans="1:2" ht="104.25" customHeight="1">
      <c r="A110" s="280">
        <f>A98+10</f>
        <v>101</v>
      </c>
      <c r="B110" s="281">
        <f>B98+10</f>
        <v>102</v>
      </c>
    </row>
    <row r="111" spans="1:2" ht="15" customHeight="1" thickBot="1">
      <c r="A111" s="282">
        <f>VLOOKUP(A110,'Іменні заявки'!$A:$J,2,FALSE)</f>
        <v>0</v>
      </c>
      <c r="B111" s="283">
        <f>VLOOKUP(B110,'Іменні заявки'!$A:$J,2,FALSE)</f>
        <v>0</v>
      </c>
    </row>
    <row r="112" spans="1:2" ht="15" customHeight="1" thickTop="1">
      <c r="A112" s="279">
        <f>VLOOKUP(A113,'Іменні заявки'!$A:$J,7,FALSE)</f>
      </c>
      <c r="B112" s="279">
        <f>VLOOKUP(B113,'Іменні заявки'!$A:$J,7,FALSE)</f>
      </c>
    </row>
    <row r="113" spans="1:2" ht="104.25" customHeight="1">
      <c r="A113" s="280">
        <f>A101+10</f>
        <v>103</v>
      </c>
      <c r="B113" s="281">
        <f>B101+10</f>
        <v>104</v>
      </c>
    </row>
    <row r="114" spans="1:2" ht="15" customHeight="1" thickBot="1">
      <c r="A114" s="282">
        <f>VLOOKUP(A113,'Іменні заявки'!$A:$J,2,FALSE)</f>
        <v>0</v>
      </c>
      <c r="B114" s="283">
        <f>VLOOKUP(B113,'Іменні заявки'!$A:$J,2,FALSE)</f>
        <v>0</v>
      </c>
    </row>
    <row r="115" spans="1:2" ht="15" customHeight="1" thickTop="1">
      <c r="A115" s="279">
        <f>VLOOKUP(A116,'Іменні заявки'!$A:$J,7,FALSE)</f>
      </c>
      <c r="B115" s="279">
        <f>VLOOKUP(B116,'Іменні заявки'!$A:$J,7,FALSE)</f>
      </c>
    </row>
    <row r="116" spans="1:2" ht="104.25" customHeight="1">
      <c r="A116" s="280">
        <f>A104+10</f>
        <v>105</v>
      </c>
      <c r="B116" s="281">
        <f>B104+10</f>
        <v>106</v>
      </c>
    </row>
    <row r="117" spans="1:2" ht="15" customHeight="1" thickBot="1">
      <c r="A117" s="282">
        <f>VLOOKUP(A116,'Іменні заявки'!$A:$J,2,FALSE)</f>
        <v>0</v>
      </c>
      <c r="B117" s="283">
        <f>VLOOKUP(B116,'Іменні заявки'!$A:$J,2,FALSE)</f>
        <v>0</v>
      </c>
    </row>
    <row r="118" spans="1:2" ht="15" customHeight="1" thickTop="1">
      <c r="A118" s="279">
        <f>VLOOKUP(A119,'Іменні заявки'!$A:$J,7,FALSE)</f>
      </c>
      <c r="B118" s="279">
        <f>VLOOKUP(B119,'Іменні заявки'!$A:$J,7,FALSE)</f>
      </c>
    </row>
    <row r="119" spans="1:2" ht="104.25" customHeight="1">
      <c r="A119" s="280">
        <f>A107+10</f>
        <v>107</v>
      </c>
      <c r="B119" s="281">
        <f>B107+10</f>
        <v>108</v>
      </c>
    </row>
    <row r="120" spans="1:2" ht="15" customHeight="1" thickBot="1">
      <c r="A120" s="282">
        <f>VLOOKUP(A119,'Іменні заявки'!$A:$J,2,FALSE)</f>
        <v>0</v>
      </c>
      <c r="B120" s="283">
        <f>VLOOKUP(B119,'Іменні заявки'!$A:$J,2,FALSE)</f>
        <v>0</v>
      </c>
    </row>
    <row r="121" spans="1:2" ht="15" customHeight="1" thickTop="1">
      <c r="A121" s="279" t="str">
        <f>VLOOKUP(A122,'Іменні заявки'!$A:$J,7,FALSE)</f>
        <v>Новоушицького р-ну</v>
      </c>
      <c r="B121" s="279" t="str">
        <f>VLOOKUP(B122,'Іменні заявки'!$A:$J,7,FALSE)</f>
        <v>Новоушицького р-ну</v>
      </c>
    </row>
    <row r="122" spans="1:2" ht="104.25" customHeight="1">
      <c r="A122" s="280">
        <f>A110+10</f>
        <v>111</v>
      </c>
      <c r="B122" s="281">
        <f>B110+10</f>
        <v>112</v>
      </c>
    </row>
    <row r="123" spans="1:2" ht="15" customHeight="1" thickBot="1">
      <c r="A123" s="282" t="str">
        <f>VLOOKUP(A122,'Іменні заявки'!$A:$J,2,FALSE)</f>
        <v>Посишен Віталій Володимирович</v>
      </c>
      <c r="B123" s="283" t="str">
        <f>VLOOKUP(B122,'Іменні заявки'!$A:$J,2,FALSE)</f>
        <v>Рудик Наталя Петрівна</v>
      </c>
    </row>
    <row r="124" spans="1:2" ht="15" customHeight="1" thickTop="1">
      <c r="A124" s="279" t="str">
        <f>VLOOKUP(A125,'Іменні заявки'!$A:$J,7,FALSE)</f>
        <v>Новоушицького р-ну</v>
      </c>
      <c r="B124" s="279" t="str">
        <f>VLOOKUP(B125,'Іменні заявки'!$A:$J,7,FALSE)</f>
        <v>Новоушицького р-ну</v>
      </c>
    </row>
    <row r="125" spans="1:2" ht="104.25" customHeight="1">
      <c r="A125" s="280">
        <f>A113+10</f>
        <v>113</v>
      </c>
      <c r="B125" s="281">
        <f>B113+10</f>
        <v>114</v>
      </c>
    </row>
    <row r="126" spans="1:2" ht="15" customHeight="1" thickBot="1">
      <c r="A126" s="282" t="str">
        <f>VLOOKUP(A125,'Іменні заявки'!$A:$J,2,FALSE)</f>
        <v>Бурбас Олександр Петрович</v>
      </c>
      <c r="B126" s="283" t="str">
        <f>VLOOKUP(B125,'Іменні заявки'!$A:$J,2,FALSE)</f>
        <v>Макогончук Вадим Петрович</v>
      </c>
    </row>
    <row r="127" spans="1:2" ht="15" customHeight="1" thickTop="1">
      <c r="A127" s="279" t="str">
        <f>VLOOKUP(A128,'Іменні заявки'!$A:$J,7,FALSE)</f>
        <v>Новоушицького р-ну</v>
      </c>
      <c r="B127" s="279" t="str">
        <f>VLOOKUP(B128,'Іменні заявки'!$A:$J,7,FALSE)</f>
        <v>Новоушицького р-ну</v>
      </c>
    </row>
    <row r="128" spans="1:2" ht="104.25" customHeight="1">
      <c r="A128" s="280">
        <f>A116+10</f>
        <v>115</v>
      </c>
      <c r="B128" s="281">
        <f>B116+10</f>
        <v>116</v>
      </c>
    </row>
    <row r="129" spans="1:2" ht="15" customHeight="1" thickBot="1">
      <c r="A129" s="282" t="str">
        <f>VLOOKUP(A128,'Іменні заявки'!$A:$J,2,FALSE)</f>
        <v>Дубіневич Олександр Васильович</v>
      </c>
      <c r="B129" s="283" t="str">
        <f>VLOOKUP(B128,'Іменні заявки'!$A:$J,2,FALSE)</f>
        <v>Пітик Ольга Олександрівна</v>
      </c>
    </row>
    <row r="130" spans="1:2" ht="15" customHeight="1" thickTop="1">
      <c r="A130" s="279" t="str">
        <f>VLOOKUP(A131,'Іменні заявки'!$A:$J,7,FALSE)</f>
        <v>Новоушицького р-ну</v>
      </c>
      <c r="B130" s="279" t="str">
        <f>VLOOKUP(B131,'Іменні заявки'!$A:$J,7,FALSE)</f>
        <v>Новоушицького р-ну</v>
      </c>
    </row>
    <row r="131" spans="1:2" ht="104.25" customHeight="1">
      <c r="A131" s="280">
        <f>A119+10</f>
        <v>117</v>
      </c>
      <c r="B131" s="281">
        <f>B119+10</f>
        <v>118</v>
      </c>
    </row>
    <row r="132" spans="1:2" ht="15" customHeight="1" thickBot="1">
      <c r="A132" s="282" t="str">
        <f>VLOOKUP(A131,'Іменні заявки'!$A:$J,2,FALSE)</f>
        <v>Іванов Олександр Леонідович</v>
      </c>
      <c r="B132" s="283" t="str">
        <f>VLOOKUP(B131,'Іменні заявки'!$A:$J,2,FALSE)</f>
        <v>Пархомець Борис Петрович</v>
      </c>
    </row>
    <row r="133" spans="1:2" ht="15" customHeight="1" thickTop="1">
      <c r="A133" s="279" t="str">
        <f>VLOOKUP(A134,'Іменні заявки'!$A:$J,7,FALSE)</f>
        <v>Полонського р-ну</v>
      </c>
      <c r="B133" s="279" t="str">
        <f>VLOOKUP(B134,'Іменні заявки'!$A:$J,7,FALSE)</f>
        <v>Полонського р-ну</v>
      </c>
    </row>
    <row r="134" spans="1:2" ht="104.25" customHeight="1">
      <c r="A134" s="280">
        <f>A122+10</f>
        <v>121</v>
      </c>
      <c r="B134" s="281">
        <f>B122+10</f>
        <v>122</v>
      </c>
    </row>
    <row r="135" spans="1:2" ht="15" customHeight="1" thickBot="1">
      <c r="A135" s="282" t="str">
        <f>VLOOKUP(A134,'Іменні заявки'!$A:$J,2,FALSE)</f>
        <v>Дзеба Святослав Володимирович</v>
      </c>
      <c r="B135" s="283" t="str">
        <f>VLOOKUP(B134,'Іменні заявки'!$A:$J,2,FALSE)</f>
        <v>Рибачок Мирослава Анатоліївна</v>
      </c>
    </row>
    <row r="136" spans="1:2" ht="15" customHeight="1" thickTop="1">
      <c r="A136" s="279" t="str">
        <f>VLOOKUP(A137,'Іменні заявки'!$A:$J,7,FALSE)</f>
        <v>Полонського р-ну</v>
      </c>
      <c r="B136" s="279" t="str">
        <f>VLOOKUP(B137,'Іменні заявки'!$A:$J,7,FALSE)</f>
        <v>Полонського р-ну</v>
      </c>
    </row>
    <row r="137" spans="1:2" ht="104.25" customHeight="1">
      <c r="A137" s="280">
        <f>A125+10</f>
        <v>123</v>
      </c>
      <c r="B137" s="281">
        <f>B125+10</f>
        <v>124</v>
      </c>
    </row>
    <row r="138" spans="1:2" ht="15" customHeight="1" thickBot="1">
      <c r="A138" s="282" t="str">
        <f>VLOOKUP(A137,'Іменні заявки'!$A:$J,2,FALSE)</f>
        <v>Микитюк Тарас Олегович</v>
      </c>
      <c r="B138" s="283" t="str">
        <f>VLOOKUP(B137,'Іменні заявки'!$A:$J,2,FALSE)</f>
        <v>Цішевський Олександр Болеславович</v>
      </c>
    </row>
    <row r="139" spans="1:2" ht="15" customHeight="1" thickTop="1">
      <c r="A139" s="279" t="str">
        <f>VLOOKUP(A140,'Іменні заявки'!$A:$J,7,FALSE)</f>
        <v>Полонського р-ну</v>
      </c>
      <c r="B139" s="279" t="str">
        <f>VLOOKUP(B140,'Іменні заявки'!$A:$J,7,FALSE)</f>
        <v>Полонського р-ну</v>
      </c>
    </row>
    <row r="140" spans="1:2" ht="104.25" customHeight="1">
      <c r="A140" s="280">
        <f>A128+10</f>
        <v>125</v>
      </c>
      <c r="B140" s="281">
        <f>B128+10</f>
        <v>126</v>
      </c>
    </row>
    <row r="141" spans="1:2" ht="15" customHeight="1" thickBot="1">
      <c r="A141" s="282" t="str">
        <f>VLOOKUP(A140,'Іменні заявки'!$A:$J,2,FALSE)</f>
        <v>Ковальчук Андрій Васильович</v>
      </c>
      <c r="B141" s="283" t="str">
        <f>VLOOKUP(B140,'Іменні заявки'!$A:$J,2,FALSE)</f>
        <v>Яремов Дмитро Олегович</v>
      </c>
    </row>
    <row r="142" spans="1:2" ht="15" customHeight="1" thickTop="1">
      <c r="A142" s="279" t="str">
        <f>VLOOKUP(A143,'Іменні заявки'!$A:$J,7,FALSE)</f>
        <v>Полонського р-ну</v>
      </c>
      <c r="B142" s="279" t="str">
        <f>VLOOKUP(B143,'Іменні заявки'!$A:$J,7,FALSE)</f>
        <v>Полонського р-ну</v>
      </c>
    </row>
    <row r="143" spans="1:2" ht="104.25" customHeight="1">
      <c r="A143" s="280">
        <f>A131+10</f>
        <v>127</v>
      </c>
      <c r="B143" s="281">
        <f>B131+10</f>
        <v>128</v>
      </c>
    </row>
    <row r="144" spans="1:2" ht="15" customHeight="1" thickBot="1">
      <c r="A144" s="282" t="str">
        <f>VLOOKUP(A143,'Іменні заявки'!$A:$J,2,FALSE)</f>
        <v>Юрчук Максим Вікторович</v>
      </c>
      <c r="B144" s="283" t="str">
        <f>VLOOKUP(B143,'Іменні заявки'!$A:$J,2,FALSE)</f>
        <v>Рибачок Валентина Іллівна</v>
      </c>
    </row>
    <row r="145" spans="1:2" ht="15" customHeight="1" thickTop="1">
      <c r="A145" s="279">
        <f>VLOOKUP(A146,'Іменні заявки'!$A:$J,7,FALSE)</f>
      </c>
      <c r="B145" s="279">
        <f>VLOOKUP(B146,'Іменні заявки'!$A:$J,7,FALSE)</f>
      </c>
    </row>
    <row r="146" spans="1:2" ht="104.25" customHeight="1">
      <c r="A146" s="280">
        <f>A134+10</f>
        <v>131</v>
      </c>
      <c r="B146" s="281">
        <f>B134+10</f>
        <v>132</v>
      </c>
    </row>
    <row r="147" spans="1:2" ht="15" customHeight="1" thickBot="1">
      <c r="A147" s="282">
        <f>VLOOKUP(A146,'Іменні заявки'!$A:$J,2,FALSE)</f>
        <v>0</v>
      </c>
      <c r="B147" s="283">
        <f>VLOOKUP(B146,'Іменні заявки'!$A:$J,2,FALSE)</f>
        <v>0</v>
      </c>
    </row>
    <row r="148" spans="1:2" ht="15" customHeight="1" thickTop="1">
      <c r="A148" s="279">
        <f>VLOOKUP(A149,'Іменні заявки'!$A:$J,7,FALSE)</f>
      </c>
      <c r="B148" s="279">
        <f>VLOOKUP(B149,'Іменні заявки'!$A:$J,7,FALSE)</f>
      </c>
    </row>
    <row r="149" spans="1:2" ht="104.25" customHeight="1">
      <c r="A149" s="280">
        <f>A137+10</f>
        <v>133</v>
      </c>
      <c r="B149" s="281">
        <f>B137+10</f>
        <v>134</v>
      </c>
    </row>
    <row r="150" spans="1:2" ht="15" customHeight="1" thickBot="1">
      <c r="A150" s="282">
        <f>VLOOKUP(A149,'Іменні заявки'!$A:$J,2,FALSE)</f>
        <v>0</v>
      </c>
      <c r="B150" s="283">
        <f>VLOOKUP(B149,'Іменні заявки'!$A:$J,2,FALSE)</f>
        <v>0</v>
      </c>
    </row>
    <row r="151" spans="1:2" ht="15" customHeight="1" thickTop="1">
      <c r="A151" s="279">
        <f>VLOOKUP(A152,'Іменні заявки'!$A:$J,7,FALSE)</f>
      </c>
      <c r="B151" s="279">
        <f>VLOOKUP(B152,'Іменні заявки'!$A:$J,7,FALSE)</f>
      </c>
    </row>
    <row r="152" spans="1:2" ht="104.25" customHeight="1">
      <c r="A152" s="280">
        <f>A140+10</f>
        <v>135</v>
      </c>
      <c r="B152" s="281">
        <f>B140+10</f>
        <v>136</v>
      </c>
    </row>
    <row r="153" spans="1:2" ht="15" customHeight="1" thickBot="1">
      <c r="A153" s="282">
        <f>VLOOKUP(A152,'Іменні заявки'!$A:$J,2,FALSE)</f>
        <v>0</v>
      </c>
      <c r="B153" s="283">
        <f>VLOOKUP(B152,'Іменні заявки'!$A:$J,2,FALSE)</f>
        <v>0</v>
      </c>
    </row>
    <row r="154" spans="1:2" ht="15" customHeight="1" thickTop="1">
      <c r="A154" s="279">
        <f>VLOOKUP(A155,'Іменні заявки'!$A:$J,7,FALSE)</f>
      </c>
      <c r="B154" s="279">
        <f>VLOOKUP(B155,'Іменні заявки'!$A:$J,7,FALSE)</f>
      </c>
    </row>
    <row r="155" spans="1:2" ht="104.25" customHeight="1">
      <c r="A155" s="280">
        <f>A143+10</f>
        <v>137</v>
      </c>
      <c r="B155" s="281">
        <f>B143+10</f>
        <v>138</v>
      </c>
    </row>
    <row r="156" spans="1:2" ht="15" customHeight="1" thickBot="1">
      <c r="A156" s="282">
        <f>VLOOKUP(A155,'Іменні заявки'!$A:$J,2,FALSE)</f>
        <v>0</v>
      </c>
      <c r="B156" s="283">
        <f>VLOOKUP(B155,'Іменні заявки'!$A:$J,2,FALSE)</f>
        <v>0</v>
      </c>
    </row>
    <row r="157" spans="1:2" ht="15" customHeight="1" thickTop="1">
      <c r="A157" s="279" t="str">
        <f>VLOOKUP(A158,'Іменні заявки'!$A:$J,7,FALSE)</f>
        <v>Старокостянтин. р-ну</v>
      </c>
      <c r="B157" s="279" t="str">
        <f>VLOOKUP(B158,'Іменні заявки'!$A:$J,7,FALSE)</f>
        <v>Старокостянтин. р-ну</v>
      </c>
    </row>
    <row r="158" spans="1:2" ht="104.25" customHeight="1">
      <c r="A158" s="280">
        <f>A146+10</f>
        <v>141</v>
      </c>
      <c r="B158" s="281">
        <f>B146+10</f>
        <v>142</v>
      </c>
    </row>
    <row r="159" spans="1:2" ht="15" customHeight="1" thickBot="1">
      <c r="A159" s="282" t="str">
        <f>VLOOKUP(A158,'Іменні заявки'!$A:$J,2,FALSE)</f>
        <v>Кожевніков  Антон Володимирович</v>
      </c>
      <c r="B159" s="283" t="str">
        <f>VLOOKUP(B158,'Іменні заявки'!$A:$J,2,FALSE)</f>
        <v>Маринчак Дмитро Іванович</v>
      </c>
    </row>
    <row r="160" spans="1:2" ht="15" customHeight="1" thickTop="1">
      <c r="A160" s="279" t="str">
        <f>VLOOKUP(A161,'Іменні заявки'!$A:$J,7,FALSE)</f>
        <v>Старокостянтин. р-ну</v>
      </c>
      <c r="B160" s="279" t="str">
        <f>VLOOKUP(B161,'Іменні заявки'!$A:$J,7,FALSE)</f>
        <v>Старокостянтин. р-ну</v>
      </c>
    </row>
    <row r="161" spans="1:2" ht="104.25" customHeight="1">
      <c r="A161" s="280">
        <f>A149+10</f>
        <v>143</v>
      </c>
      <c r="B161" s="281">
        <f>B149+10</f>
        <v>144</v>
      </c>
    </row>
    <row r="162" spans="1:2" ht="15" customHeight="1" thickBot="1">
      <c r="A162" s="282" t="str">
        <f>VLOOKUP(A161,'Іменні заявки'!$A:$J,2,FALSE)</f>
        <v>Пастух Олександр Васильович</v>
      </c>
      <c r="B162" s="283" t="str">
        <f>VLOOKUP(B161,'Іменні заявки'!$A:$J,2,FALSE)</f>
        <v>Поліщук Андрій Олександрович</v>
      </c>
    </row>
    <row r="163" spans="1:2" ht="15" customHeight="1" thickTop="1">
      <c r="A163" s="279" t="str">
        <f>VLOOKUP(A164,'Іменні заявки'!$A:$J,7,FALSE)</f>
        <v>Старокостянтин. р-ну</v>
      </c>
      <c r="B163" s="279" t="str">
        <f>VLOOKUP(B164,'Іменні заявки'!$A:$J,7,FALSE)</f>
        <v>Старокостянтин. р-ну</v>
      </c>
    </row>
    <row r="164" spans="1:2" ht="104.25" customHeight="1">
      <c r="A164" s="280">
        <f>A152+10</f>
        <v>145</v>
      </c>
      <c r="B164" s="281">
        <f>B152+10</f>
        <v>146</v>
      </c>
    </row>
    <row r="165" spans="1:2" ht="15" customHeight="1" thickBot="1">
      <c r="A165" s="282" t="str">
        <f>VLOOKUP(A164,'Іменні заявки'!$A:$J,2,FALSE)</f>
        <v>Савчук Ганна Григорівна</v>
      </c>
      <c r="B165" s="283" t="str">
        <f>VLOOKUP(B164,'Іменні заявки'!$A:$J,2,FALSE)</f>
        <v>Войтенко Сергій Анатолійович</v>
      </c>
    </row>
    <row r="166" spans="1:2" ht="15" customHeight="1" thickTop="1">
      <c r="A166" s="279" t="str">
        <f>VLOOKUP(A167,'Іменні заявки'!$A:$J,7,FALSE)</f>
        <v>Старокостянтин. р-ну</v>
      </c>
      <c r="B166" s="279" t="str">
        <f>VLOOKUP(B167,'Іменні заявки'!$A:$J,7,FALSE)</f>
        <v>Старокостянтин. р-ну</v>
      </c>
    </row>
    <row r="167" spans="1:2" ht="104.25" customHeight="1">
      <c r="A167" s="280">
        <f>A155+10</f>
        <v>147</v>
      </c>
      <c r="B167" s="281">
        <f>B155+10</f>
        <v>148</v>
      </c>
    </row>
    <row r="168" spans="1:2" ht="15" customHeight="1" thickBot="1">
      <c r="A168" s="282">
        <f>VLOOKUP(A167,'Іменні заявки'!$A:$J,2,FALSE)</f>
        <v>0</v>
      </c>
      <c r="B168" s="283">
        <f>VLOOKUP(B167,'Іменні заявки'!$A:$J,2,FALSE)</f>
        <v>0</v>
      </c>
    </row>
    <row r="169" spans="1:2" ht="15" customHeight="1" thickTop="1">
      <c r="A169" s="279">
        <f>VLOOKUP(A170,'Іменні заявки'!$A:$J,7,FALSE)</f>
      </c>
      <c r="B169" s="279">
        <f>VLOOKUP(B170,'Іменні заявки'!$A:$J,7,FALSE)</f>
      </c>
    </row>
    <row r="170" spans="1:2" ht="104.25" customHeight="1">
      <c r="A170" s="280">
        <f>A158+10</f>
        <v>151</v>
      </c>
      <c r="B170" s="281">
        <f>B158+10</f>
        <v>152</v>
      </c>
    </row>
    <row r="171" spans="1:2" ht="15" customHeight="1" thickBot="1">
      <c r="A171" s="282">
        <f>VLOOKUP(A170,'Іменні заявки'!$A:$J,2,FALSE)</f>
        <v>0</v>
      </c>
      <c r="B171" s="283">
        <f>VLOOKUP(B170,'Іменні заявки'!$A:$J,2,FALSE)</f>
        <v>0</v>
      </c>
    </row>
    <row r="172" spans="1:2" ht="15" customHeight="1" thickTop="1">
      <c r="A172" s="279">
        <f>VLOOKUP(A173,'Іменні заявки'!$A:$J,7,FALSE)</f>
      </c>
      <c r="B172" s="279">
        <f>VLOOKUP(B173,'Іменні заявки'!$A:$J,7,FALSE)</f>
      </c>
    </row>
    <row r="173" spans="1:2" ht="104.25" customHeight="1">
      <c r="A173" s="280">
        <f>A161+10</f>
        <v>153</v>
      </c>
      <c r="B173" s="281">
        <f>B161+10</f>
        <v>154</v>
      </c>
    </row>
    <row r="174" spans="1:2" ht="15" customHeight="1" thickBot="1">
      <c r="A174" s="282">
        <f>VLOOKUP(A173,'Іменні заявки'!$A:$J,2,FALSE)</f>
        <v>0</v>
      </c>
      <c r="B174" s="283">
        <f>VLOOKUP(B173,'Іменні заявки'!$A:$J,2,FALSE)</f>
        <v>0</v>
      </c>
    </row>
    <row r="175" spans="1:2" ht="15" customHeight="1" thickTop="1">
      <c r="A175" s="279">
        <f>VLOOKUP(A176,'Іменні заявки'!$A:$J,7,FALSE)</f>
      </c>
      <c r="B175" s="279">
        <f>VLOOKUP(B176,'Іменні заявки'!$A:$J,7,FALSE)</f>
      </c>
    </row>
    <row r="176" spans="1:2" ht="104.25" customHeight="1">
      <c r="A176" s="280">
        <f>A164+10</f>
        <v>155</v>
      </c>
      <c r="B176" s="281">
        <f>B164+10</f>
        <v>156</v>
      </c>
    </row>
    <row r="177" spans="1:2" ht="15" customHeight="1" thickBot="1">
      <c r="A177" s="282">
        <f>VLOOKUP(A176,'Іменні заявки'!$A:$J,2,FALSE)</f>
        <v>0</v>
      </c>
      <c r="B177" s="283">
        <f>VLOOKUP(B176,'Іменні заявки'!$A:$J,2,FALSE)</f>
        <v>0</v>
      </c>
    </row>
    <row r="178" spans="1:2" ht="15" customHeight="1" thickTop="1">
      <c r="A178" s="279">
        <f>VLOOKUP(A179,'Іменні заявки'!$A:$J,7,FALSE)</f>
      </c>
      <c r="B178" s="279">
        <f>VLOOKUP(B179,'Іменні заявки'!$A:$J,7,FALSE)</f>
      </c>
    </row>
    <row r="179" spans="1:2" ht="104.25" customHeight="1">
      <c r="A179" s="280">
        <f>A167+10</f>
        <v>157</v>
      </c>
      <c r="B179" s="281">
        <f>B167+10</f>
        <v>158</v>
      </c>
    </row>
    <row r="180" spans="1:2" ht="15" customHeight="1" thickBot="1">
      <c r="A180" s="282">
        <f>VLOOKUP(A179,'Іменні заявки'!$A:$J,2,FALSE)</f>
        <v>0</v>
      </c>
      <c r="B180" s="283">
        <f>VLOOKUP(B179,'Іменні заявки'!$A:$J,2,FALSE)</f>
        <v>0</v>
      </c>
    </row>
    <row r="181" spans="1:2" ht="15" customHeight="1" thickTop="1">
      <c r="A181" s="279">
        <f>VLOOKUP(A182,'Іменні заявки'!$A:$J,7,FALSE)</f>
      </c>
      <c r="B181" s="279">
        <f>VLOOKUP(B182,'Іменні заявки'!$A:$J,7,FALSE)</f>
      </c>
    </row>
    <row r="182" spans="1:2" ht="104.25" customHeight="1">
      <c r="A182" s="280">
        <f>A170+10</f>
        <v>161</v>
      </c>
      <c r="B182" s="281">
        <f>B170+10</f>
        <v>162</v>
      </c>
    </row>
    <row r="183" spans="1:2" ht="15" customHeight="1" thickBot="1">
      <c r="A183" s="282">
        <f>VLOOKUP(A182,'Іменні заявки'!$A:$J,2,FALSE)</f>
        <v>0</v>
      </c>
      <c r="B183" s="283">
        <f>VLOOKUP(B182,'Іменні заявки'!$A:$J,2,FALSE)</f>
        <v>0</v>
      </c>
    </row>
    <row r="184" spans="1:2" ht="15" customHeight="1" thickTop="1">
      <c r="A184" s="279">
        <f>VLOOKUP(A185,'Іменні заявки'!$A:$J,7,FALSE)</f>
      </c>
      <c r="B184" s="279">
        <f>VLOOKUP(B185,'Іменні заявки'!$A:$J,7,FALSE)</f>
      </c>
    </row>
    <row r="185" spans="1:2" ht="104.25" customHeight="1">
      <c r="A185" s="280">
        <f>A173+10</f>
        <v>163</v>
      </c>
      <c r="B185" s="281">
        <f>B173+10</f>
        <v>164</v>
      </c>
    </row>
    <row r="186" spans="1:2" ht="15" customHeight="1" thickBot="1">
      <c r="A186" s="282">
        <f>VLOOKUP(A185,'Іменні заявки'!$A:$J,2,FALSE)</f>
        <v>0</v>
      </c>
      <c r="B186" s="283">
        <f>VLOOKUP(B185,'Іменні заявки'!$A:$J,2,FALSE)</f>
        <v>0</v>
      </c>
    </row>
    <row r="187" spans="1:2" ht="15" customHeight="1" thickTop="1">
      <c r="A187" s="279">
        <f>VLOOKUP(A188,'Іменні заявки'!$A:$J,7,FALSE)</f>
      </c>
      <c r="B187" s="279">
        <f>VLOOKUP(B188,'Іменні заявки'!$A:$J,7,FALSE)</f>
      </c>
    </row>
    <row r="188" spans="1:2" ht="104.25" customHeight="1">
      <c r="A188" s="280">
        <f>A176+10</f>
        <v>165</v>
      </c>
      <c r="B188" s="281">
        <f>B176+10</f>
        <v>166</v>
      </c>
    </row>
    <row r="189" spans="1:2" ht="15" customHeight="1" thickBot="1">
      <c r="A189" s="282">
        <f>VLOOKUP(A188,'Іменні заявки'!$A:$J,2,FALSE)</f>
        <v>0</v>
      </c>
      <c r="B189" s="283">
        <f>VLOOKUP(B188,'Іменні заявки'!$A:$J,2,FALSE)</f>
        <v>0</v>
      </c>
    </row>
    <row r="190" spans="1:2" ht="15" customHeight="1" thickTop="1">
      <c r="A190" s="279">
        <f>VLOOKUP(A191,'Іменні заявки'!$A:$J,7,FALSE)</f>
      </c>
      <c r="B190" s="279">
        <f>VLOOKUP(B191,'Іменні заявки'!$A:$J,7,FALSE)</f>
      </c>
    </row>
    <row r="191" spans="1:2" ht="104.25" customHeight="1">
      <c r="A191" s="280">
        <f>A179+10</f>
        <v>167</v>
      </c>
      <c r="B191" s="281">
        <f>B179+10</f>
        <v>168</v>
      </c>
    </row>
    <row r="192" spans="1:2" ht="15" customHeight="1" thickBot="1">
      <c r="A192" s="282">
        <f>VLOOKUP(A191,'Іменні заявки'!$A:$J,2,FALSE)</f>
        <v>0</v>
      </c>
      <c r="B192" s="283">
        <f>VLOOKUP(B191,'Іменні заявки'!$A:$J,2,FALSE)</f>
        <v>0</v>
      </c>
    </row>
    <row r="193" spans="1:2" ht="15" customHeight="1" thickTop="1">
      <c r="A193" s="279" t="str">
        <f>VLOOKUP(A194,'Іменні заявки'!$A:$J,7,FALSE)</f>
        <v>Хмельницького р-ну</v>
      </c>
      <c r="B193" s="279" t="str">
        <f>VLOOKUP(B194,'Іменні заявки'!$A:$J,7,FALSE)</f>
        <v>Хмельницького р-ну</v>
      </c>
    </row>
    <row r="194" spans="1:2" ht="104.25" customHeight="1">
      <c r="A194" s="280">
        <f>A182+10</f>
        <v>171</v>
      </c>
      <c r="B194" s="281">
        <f>B182+10</f>
        <v>172</v>
      </c>
    </row>
    <row r="195" spans="1:2" ht="15" customHeight="1" thickBot="1">
      <c r="A195" s="282" t="str">
        <f>VLOOKUP(A194,'Іменні заявки'!$A:$J,2,FALSE)</f>
        <v>Іщук Олег Михайлович</v>
      </c>
      <c r="B195" s="283" t="str">
        <f>VLOOKUP(B194,'Іменні заявки'!$A:$J,2,FALSE)</f>
        <v>Гула Володимир Миколайович</v>
      </c>
    </row>
    <row r="196" spans="1:2" ht="15" customHeight="1" thickTop="1">
      <c r="A196" s="279" t="str">
        <f>VLOOKUP(A197,'Іменні заявки'!$A:$J,7,FALSE)</f>
        <v>Хмельницького р-ну</v>
      </c>
      <c r="B196" s="279" t="str">
        <f>VLOOKUP(B197,'Іменні заявки'!$A:$J,7,FALSE)</f>
        <v>Хмельницького р-ну</v>
      </c>
    </row>
    <row r="197" spans="1:2" ht="104.25" customHeight="1">
      <c r="A197" s="280">
        <f>A185+10</f>
        <v>173</v>
      </c>
      <c r="B197" s="281">
        <f>B185+10</f>
        <v>174</v>
      </c>
    </row>
    <row r="198" spans="1:2" ht="15" customHeight="1" thickBot="1">
      <c r="A198" s="282" t="str">
        <f>VLOOKUP(A197,'Іменні заявки'!$A:$J,2,FALSE)</f>
        <v>Остапчук Оксана Василівна</v>
      </c>
      <c r="B198" s="283" t="str">
        <f>VLOOKUP(B197,'Іменні заявки'!$A:$J,2,FALSE)</f>
        <v>Степанишина Ольга Станіславівна</v>
      </c>
    </row>
    <row r="199" spans="1:2" ht="15" customHeight="1" thickTop="1">
      <c r="A199" s="279" t="str">
        <f>VLOOKUP(A200,'Іменні заявки'!$A:$J,7,FALSE)</f>
        <v>Хмельницького р-ну</v>
      </c>
      <c r="B199" s="279" t="str">
        <f>VLOOKUP(B200,'Іменні заявки'!$A:$J,7,FALSE)</f>
        <v>Хмельницького р-ну</v>
      </c>
    </row>
    <row r="200" spans="1:2" ht="104.25" customHeight="1">
      <c r="A200" s="280">
        <f>A188+10</f>
        <v>175</v>
      </c>
      <c r="B200" s="281">
        <f>B188+10</f>
        <v>176</v>
      </c>
    </row>
    <row r="201" spans="1:2" ht="15" customHeight="1" thickBot="1">
      <c r="A201" s="282" t="str">
        <f>VLOOKUP(A200,'Іменні заявки'!$A:$J,2,FALSE)</f>
        <v>Дубілей Андрій Валентинович</v>
      </c>
      <c r="B201" s="283" t="str">
        <f>VLOOKUP(B200,'Іменні заявки'!$A:$J,2,FALSE)</f>
        <v>Мельник Інна Віталіївна</v>
      </c>
    </row>
    <row r="202" spans="1:2" ht="15" customHeight="1" thickTop="1">
      <c r="A202" s="279" t="str">
        <f>VLOOKUP(A203,'Іменні заявки'!$A:$J,7,FALSE)</f>
        <v>Хмельницького р-ну</v>
      </c>
      <c r="B202" s="279" t="str">
        <f>VLOOKUP(B203,'Іменні заявки'!$A:$J,7,FALSE)</f>
        <v>Хмельницького р-ну</v>
      </c>
    </row>
    <row r="203" spans="1:2" ht="104.25" customHeight="1">
      <c r="A203" s="280">
        <f>A191+10</f>
        <v>177</v>
      </c>
      <c r="B203" s="281">
        <f>B191+10</f>
        <v>178</v>
      </c>
    </row>
    <row r="204" spans="1:2" ht="15" customHeight="1" thickBot="1">
      <c r="A204" s="282" t="str">
        <f>VLOOKUP(A203,'Іменні заявки'!$A:$J,2,FALSE)</f>
        <v>Кучер Олексій Васильович</v>
      </c>
      <c r="B204" s="283" t="str">
        <f>VLOOKUP(B203,'Іменні заявки'!$A:$J,2,FALSE)</f>
        <v>Пушкар Тетяна Василівна</v>
      </c>
    </row>
    <row r="205" spans="1:2" ht="15" customHeight="1" thickTop="1">
      <c r="A205" s="279" t="str">
        <f>VLOOKUP(A206,'Іменні заявки'!$A:$J,7,FALSE)</f>
        <v>Чемеровецького р-ну</v>
      </c>
      <c r="B205" s="279" t="str">
        <f>VLOOKUP(B206,'Іменні заявки'!$A:$J,7,FALSE)</f>
        <v>Чемеровецького р-ну</v>
      </c>
    </row>
    <row r="206" spans="1:2" ht="104.25" customHeight="1">
      <c r="A206" s="280">
        <f>A194+10</f>
        <v>181</v>
      </c>
      <c r="B206" s="281">
        <f>B194+10</f>
        <v>182</v>
      </c>
    </row>
    <row r="207" spans="1:2" ht="15" customHeight="1" thickBot="1">
      <c r="A207" s="282" t="str">
        <f>VLOOKUP(A206,'Іменні заявки'!$A:$J,2,FALSE)</f>
        <v>Василинчук Сергій Олександрович</v>
      </c>
      <c r="B207" s="283" t="str">
        <f>VLOOKUP(B206,'Іменні заявки'!$A:$J,2,FALSE)</f>
        <v>Чорнюк Андрій Валерійович</v>
      </c>
    </row>
    <row r="208" spans="1:2" ht="15" customHeight="1" thickTop="1">
      <c r="A208" s="279" t="str">
        <f>VLOOKUP(A209,'Іменні заявки'!$A:$J,7,FALSE)</f>
        <v>Чемеровецького р-ну</v>
      </c>
      <c r="B208" s="279" t="str">
        <f>VLOOKUP(B209,'Іменні заявки'!$A:$J,7,FALSE)</f>
        <v>Чемеровецького р-ну</v>
      </c>
    </row>
    <row r="209" spans="1:2" ht="104.25" customHeight="1">
      <c r="A209" s="280">
        <f>A197+10</f>
        <v>183</v>
      </c>
      <c r="B209" s="281">
        <f>B197+10</f>
        <v>184</v>
      </c>
    </row>
    <row r="210" spans="1:2" ht="15" customHeight="1" thickBot="1">
      <c r="A210" s="282" t="str">
        <f>VLOOKUP(A209,'Іменні заявки'!$A:$J,2,FALSE)</f>
        <v>Герич Володимир Володимирович</v>
      </c>
      <c r="B210" s="283" t="str">
        <f>VLOOKUP(B209,'Іменні заявки'!$A:$J,2,FALSE)</f>
        <v>Слободян Тетяна Михайлівна</v>
      </c>
    </row>
    <row r="211" spans="1:2" ht="15" customHeight="1" thickTop="1">
      <c r="A211" s="279" t="str">
        <f>VLOOKUP(A212,'Іменні заявки'!$A:$J,7,FALSE)</f>
        <v>Чемеровецького р-ну</v>
      </c>
      <c r="B211" s="279" t="str">
        <f>VLOOKUP(B212,'Іменні заявки'!$A:$J,7,FALSE)</f>
        <v>Чемеровецького р-ну</v>
      </c>
    </row>
    <row r="212" spans="1:2" ht="104.25" customHeight="1">
      <c r="A212" s="280">
        <f>A200+10</f>
        <v>185</v>
      </c>
      <c r="B212" s="281">
        <f>B200+10</f>
        <v>186</v>
      </c>
    </row>
    <row r="213" spans="1:2" ht="15" customHeight="1" thickBot="1">
      <c r="A213" s="282" t="str">
        <f>VLOOKUP(A212,'Іменні заявки'!$A:$J,2,FALSE)</f>
        <v>Цісар Марина Володимирівна</v>
      </c>
      <c r="B213" s="283" t="str">
        <f>VLOOKUP(B212,'Іменні заявки'!$A:$J,2,FALSE)</f>
        <v>Боб Оксана Олександрівна</v>
      </c>
    </row>
    <row r="214" spans="1:2" ht="15" customHeight="1" thickTop="1">
      <c r="A214" s="279" t="str">
        <f>VLOOKUP(A215,'Іменні заявки'!$A:$J,7,FALSE)</f>
        <v>Чемеровецького р-ну</v>
      </c>
      <c r="B214" s="279" t="str">
        <f>VLOOKUP(B215,'Іменні заявки'!$A:$J,7,FALSE)</f>
        <v>Чемеровецького р-ну</v>
      </c>
    </row>
    <row r="215" spans="1:2" ht="104.25" customHeight="1">
      <c r="A215" s="280">
        <f>A203+10</f>
        <v>187</v>
      </c>
      <c r="B215" s="281">
        <f>B203+10</f>
        <v>188</v>
      </c>
    </row>
    <row r="216" spans="1:2" ht="15" customHeight="1" thickBot="1">
      <c r="A216" s="282" t="str">
        <f>VLOOKUP(A215,'Іменні заявки'!$A:$J,2,FALSE)</f>
        <v>Матраєв Євген Олексійович</v>
      </c>
      <c r="B216" s="283" t="str">
        <f>VLOOKUP(B215,'Іменні заявки'!$A:$J,2,FALSE)</f>
        <v>Заяць Роман Володимирович</v>
      </c>
    </row>
    <row r="217" spans="1:2" ht="15" customHeight="1" thickTop="1">
      <c r="A217" s="279" t="str">
        <f>VLOOKUP(A218,'Іменні заявки'!$A:$J,7,FALSE)</f>
        <v>Шепетівського р-ну</v>
      </c>
      <c r="B217" s="279" t="str">
        <f>VLOOKUP(B218,'Іменні заявки'!$A:$J,7,FALSE)</f>
        <v>Шепетівського р-ну</v>
      </c>
    </row>
    <row r="218" spans="1:2" ht="104.25" customHeight="1">
      <c r="A218" s="280">
        <f>A206+10</f>
        <v>191</v>
      </c>
      <c r="B218" s="281">
        <f>B206+10</f>
        <v>192</v>
      </c>
    </row>
    <row r="219" spans="1:2" ht="15" customHeight="1" thickBot="1">
      <c r="A219" s="282" t="str">
        <f>VLOOKUP(A218,'Іменні заявки'!$A:$J,2,FALSE)</f>
        <v>Яворський Володимир Миколайович</v>
      </c>
      <c r="B219" s="283" t="str">
        <f>VLOOKUP(B218,'Іменні заявки'!$A:$J,2,FALSE)</f>
        <v>Яворський Олег Віталійович</v>
      </c>
    </row>
    <row r="220" spans="1:2" ht="15" customHeight="1" thickTop="1">
      <c r="A220" s="279" t="str">
        <f>VLOOKUP(A221,'Іменні заявки'!$A:$J,7,FALSE)</f>
        <v>Шепетівського р-ну</v>
      </c>
      <c r="B220" s="279" t="str">
        <f>VLOOKUP(B221,'Іменні заявки'!$A:$J,7,FALSE)</f>
        <v>Шепетівського р-ну</v>
      </c>
    </row>
    <row r="221" spans="1:2" ht="104.25" customHeight="1">
      <c r="A221" s="280">
        <f>A209+10</f>
        <v>193</v>
      </c>
      <c r="B221" s="281">
        <f>B209+10</f>
        <v>194</v>
      </c>
    </row>
    <row r="222" spans="1:2" ht="15" customHeight="1" thickBot="1">
      <c r="A222" s="282" t="str">
        <f>VLOOKUP(A221,'Іменні заявки'!$A:$J,2,FALSE)</f>
        <v>Швець Віталій Васильович</v>
      </c>
      <c r="B222" s="283" t="str">
        <f>VLOOKUP(B221,'Іменні заявки'!$A:$J,2,FALSE)</f>
        <v>Василишин Віталій Іванович</v>
      </c>
    </row>
    <row r="223" spans="1:2" ht="15" customHeight="1" thickTop="1">
      <c r="A223" s="279" t="str">
        <f>VLOOKUP(A224,'Іменні заявки'!$A:$J,7,FALSE)</f>
        <v>Шепетівського р-ну</v>
      </c>
      <c r="B223" s="279" t="str">
        <f>VLOOKUP(B224,'Іменні заявки'!$A:$J,7,FALSE)</f>
        <v>Шепетівського р-ну</v>
      </c>
    </row>
    <row r="224" spans="1:2" ht="104.25" customHeight="1">
      <c r="A224" s="280">
        <f>A212+10</f>
        <v>195</v>
      </c>
      <c r="B224" s="281">
        <f>B212+10</f>
        <v>196</v>
      </c>
    </row>
    <row r="225" spans="1:2" ht="15" customHeight="1" thickBot="1">
      <c r="A225" s="282" t="str">
        <f>VLOOKUP(A224,'Іменні заявки'!$A:$J,2,FALSE)</f>
        <v>Шиманюк Антон Петрович</v>
      </c>
      <c r="B225" s="283" t="str">
        <f>VLOOKUP(B224,'Іменні заявки'!$A:$J,2,FALSE)</f>
        <v>Поліщук Віктор Аркадійович</v>
      </c>
    </row>
    <row r="226" spans="1:2" ht="15" customHeight="1" thickTop="1">
      <c r="A226" s="279" t="str">
        <f>VLOOKUP(A227,'Іменні заявки'!$A:$J,7,FALSE)</f>
        <v>Шепетівського р-ну</v>
      </c>
      <c r="B226" s="279" t="str">
        <f>VLOOKUP(B227,'Іменні заявки'!$A:$J,7,FALSE)</f>
        <v>Шепетівського р-ну</v>
      </c>
    </row>
    <row r="227" spans="1:2" ht="104.25" customHeight="1">
      <c r="A227" s="280">
        <f>A215+10</f>
        <v>197</v>
      </c>
      <c r="B227" s="281">
        <f>B215+10</f>
        <v>198</v>
      </c>
    </row>
    <row r="228" spans="1:2" ht="15" customHeight="1" thickBot="1">
      <c r="A228" s="282" t="str">
        <f>VLOOKUP(A227,'Іменні заявки'!$A:$J,2,FALSE)</f>
        <v>Швець Аліна Василівна</v>
      </c>
      <c r="B228" s="283" t="str">
        <f>VLOOKUP(B227,'Іменні заявки'!$A:$J,2,FALSE)</f>
        <v>Салова Тетяна Василівна</v>
      </c>
    </row>
    <row r="229" spans="1:2" ht="15" customHeight="1" thickTop="1">
      <c r="A229" s="279">
        <f>VLOOKUP(A230,'Іменні заявки'!$A:$J,7,FALSE)</f>
      </c>
      <c r="B229" s="279">
        <f>VLOOKUP(B230,'Іменні заявки'!$A:$J,7,FALSE)</f>
      </c>
    </row>
    <row r="230" spans="1:2" ht="104.25" customHeight="1">
      <c r="A230" s="280">
        <f>A218+10</f>
        <v>201</v>
      </c>
      <c r="B230" s="281">
        <f>B218+10</f>
        <v>202</v>
      </c>
    </row>
    <row r="231" spans="1:2" ht="15" customHeight="1" thickBot="1">
      <c r="A231" s="282">
        <f>VLOOKUP(A230,'Іменні заявки'!$A:$J,2,FALSE)</f>
        <v>0</v>
      </c>
      <c r="B231" s="283">
        <f>VLOOKUP(B230,'Іменні заявки'!$A:$J,2,FALSE)</f>
        <v>0</v>
      </c>
    </row>
    <row r="232" spans="1:2" ht="15" customHeight="1" thickTop="1">
      <c r="A232" s="279">
        <f>VLOOKUP(A233,'Іменні заявки'!$A:$J,7,FALSE)</f>
      </c>
      <c r="B232" s="279">
        <f>VLOOKUP(B233,'Іменні заявки'!$A:$J,7,FALSE)</f>
      </c>
    </row>
    <row r="233" spans="1:2" ht="104.25" customHeight="1">
      <c r="A233" s="280">
        <f>A221+10</f>
        <v>203</v>
      </c>
      <c r="B233" s="281">
        <f>B221+10</f>
        <v>204</v>
      </c>
    </row>
    <row r="234" spans="1:2" ht="15" customHeight="1" thickBot="1">
      <c r="A234" s="282">
        <f>VLOOKUP(A233,'Іменні заявки'!$A:$J,2,FALSE)</f>
        <v>0</v>
      </c>
      <c r="B234" s="283">
        <f>VLOOKUP(B233,'Іменні заявки'!$A:$J,2,FALSE)</f>
        <v>0</v>
      </c>
    </row>
    <row r="235" spans="1:2" ht="15" customHeight="1" thickTop="1">
      <c r="A235" s="279">
        <f>VLOOKUP(A236,'Іменні заявки'!$A:$J,7,FALSE)</f>
      </c>
      <c r="B235" s="279">
        <f>VLOOKUP(B236,'Іменні заявки'!$A:$J,7,FALSE)</f>
      </c>
    </row>
    <row r="236" spans="1:2" ht="104.25" customHeight="1">
      <c r="A236" s="280">
        <f>A224+10</f>
        <v>205</v>
      </c>
      <c r="B236" s="281">
        <f>B224+10</f>
        <v>206</v>
      </c>
    </row>
    <row r="237" spans="1:2" ht="15" customHeight="1" thickBot="1">
      <c r="A237" s="282">
        <f>VLOOKUP(A236,'Іменні заявки'!$A:$J,2,FALSE)</f>
        <v>0</v>
      </c>
      <c r="B237" s="283">
        <f>VLOOKUP(B236,'Іменні заявки'!$A:$J,2,FALSE)</f>
        <v>0</v>
      </c>
    </row>
    <row r="238" spans="1:2" ht="15" customHeight="1" thickTop="1">
      <c r="A238" s="279">
        <f>VLOOKUP(A239,'Іменні заявки'!$A:$J,7,FALSE)</f>
      </c>
      <c r="B238" s="279">
        <f>VLOOKUP(B239,'Іменні заявки'!$A:$J,7,FALSE)</f>
      </c>
    </row>
    <row r="239" spans="1:2" ht="104.25" customHeight="1">
      <c r="A239" s="280">
        <f>A227+10</f>
        <v>207</v>
      </c>
      <c r="B239" s="281">
        <f>B227+10</f>
        <v>208</v>
      </c>
    </row>
    <row r="240" spans="1:2" ht="15" customHeight="1" thickBot="1">
      <c r="A240" s="282">
        <f>VLOOKUP(A239,'Іменні заявки'!$A:$J,2,FALSE)</f>
        <v>0</v>
      </c>
      <c r="B240" s="283">
        <f>VLOOKUP(B239,'Іменні заявки'!$A:$J,2,FALSE)</f>
        <v>0</v>
      </c>
    </row>
    <row r="241" spans="1:2" ht="15" customHeight="1" thickTop="1">
      <c r="A241" s="279" t="str">
        <f>VLOOKUP(A242,'Іменні заявки'!$A:$J,7,FALSE)</f>
        <v>м.Кам’янця-Подільського</v>
      </c>
      <c r="B241" s="279" t="str">
        <f>VLOOKUP(B242,'Іменні заявки'!$A:$J,7,FALSE)</f>
        <v>м.Кам’янця-Подільського</v>
      </c>
    </row>
    <row r="242" spans="1:2" ht="104.25" customHeight="1">
      <c r="A242" s="280">
        <f>A230+10</f>
        <v>211</v>
      </c>
      <c r="B242" s="281">
        <f>B230+10</f>
        <v>212</v>
      </c>
    </row>
    <row r="243" spans="1:2" ht="15" customHeight="1" thickBot="1">
      <c r="A243" s="282" t="str">
        <f>VLOOKUP(A242,'Іменні заявки'!$A:$J,2,FALSE)</f>
        <v>Касапчук Сергій Якович</v>
      </c>
      <c r="B243" s="283" t="str">
        <f>VLOOKUP(B242,'Іменні заявки'!$A:$J,2,FALSE)</f>
        <v>Іванов Віталій Володимирович</v>
      </c>
    </row>
    <row r="244" spans="1:2" ht="15" customHeight="1" thickTop="1">
      <c r="A244" s="279" t="str">
        <f>VLOOKUP(A245,'Іменні заявки'!$A:$J,7,FALSE)</f>
        <v>м.Кам’янця-Подільського</v>
      </c>
      <c r="B244" s="279" t="str">
        <f>VLOOKUP(B245,'Іменні заявки'!$A:$J,7,FALSE)</f>
        <v>м.Кам’янця-Подільського</v>
      </c>
    </row>
    <row r="245" spans="1:2" ht="104.25" customHeight="1">
      <c r="A245" s="280">
        <f>A233+10</f>
        <v>213</v>
      </c>
      <c r="B245" s="281">
        <f>B233+10</f>
        <v>214</v>
      </c>
    </row>
    <row r="246" spans="1:2" ht="15" customHeight="1" thickBot="1">
      <c r="A246" s="282" t="str">
        <f>VLOOKUP(A245,'Іменні заявки'!$A:$J,2,FALSE)</f>
        <v>Тимчук Дмитро Вадимович</v>
      </c>
      <c r="B246" s="283" t="str">
        <f>VLOOKUP(B245,'Іменні заявки'!$A:$J,2,FALSE)</f>
        <v>Полевий Юрій Богданович</v>
      </c>
    </row>
    <row r="247" spans="1:2" ht="15" customHeight="1" thickTop="1">
      <c r="A247" s="279" t="str">
        <f>VLOOKUP(A248,'Іменні заявки'!$A:$J,7,FALSE)</f>
        <v>м.Кам’янця-Подільського</v>
      </c>
      <c r="B247" s="279" t="str">
        <f>VLOOKUP(B248,'Іменні заявки'!$A:$J,7,FALSE)</f>
        <v>м.Кам’янця-Подільського</v>
      </c>
    </row>
    <row r="248" spans="1:2" ht="104.25" customHeight="1">
      <c r="A248" s="280">
        <f>A236+10</f>
        <v>215</v>
      </c>
      <c r="B248" s="281">
        <f>B236+10</f>
        <v>216</v>
      </c>
    </row>
    <row r="249" spans="1:2" ht="15" customHeight="1" thickBot="1">
      <c r="A249" s="282" t="str">
        <f>VLOOKUP(A248,'Іменні заявки'!$A:$J,2,FALSE)</f>
        <v>Полева Наталія Іванівна</v>
      </c>
      <c r="B249" s="283" t="str">
        <f>VLOOKUP(B248,'Іменні заявки'!$A:$J,2,FALSE)</f>
        <v>Самойленко Олена Віталіївна</v>
      </c>
    </row>
    <row r="250" spans="1:2" ht="15" customHeight="1" thickTop="1">
      <c r="A250" s="279" t="str">
        <f>VLOOKUP(A251,'Іменні заявки'!$A:$J,7,FALSE)</f>
        <v>м.Кам’янця-Подільського</v>
      </c>
      <c r="B250" s="279" t="str">
        <f>VLOOKUP(B251,'Іменні заявки'!$A:$J,7,FALSE)</f>
        <v>м.Кам’янця-Подільського</v>
      </c>
    </row>
    <row r="251" spans="1:2" ht="104.25" customHeight="1">
      <c r="A251" s="280">
        <f>A239+10</f>
        <v>217</v>
      </c>
      <c r="B251" s="281">
        <f>B239+10</f>
        <v>218</v>
      </c>
    </row>
    <row r="252" spans="1:2" ht="15" customHeight="1" thickBot="1">
      <c r="A252" s="282">
        <f>VLOOKUP(A251,'Іменні заявки'!$A:$J,2,FALSE)</f>
        <v>0</v>
      </c>
      <c r="B252" s="283">
        <f>VLOOKUP(B251,'Іменні заявки'!$A:$J,2,FALSE)</f>
        <v>0</v>
      </c>
    </row>
    <row r="253" spans="1:2" ht="15" customHeight="1" thickTop="1">
      <c r="A253" s="279" t="str">
        <f>VLOOKUP(A254,'Іменні заявки'!$A:$J,7,FALSE)</f>
        <v>м. Нетішина</v>
      </c>
      <c r="B253" s="279" t="str">
        <f>VLOOKUP(B254,'Іменні заявки'!$A:$J,7,FALSE)</f>
        <v>м. Нетішина</v>
      </c>
    </row>
    <row r="254" spans="1:2" ht="104.25" customHeight="1">
      <c r="A254" s="280">
        <f>A242+10</f>
        <v>221</v>
      </c>
      <c r="B254" s="281">
        <f>B242+10</f>
        <v>222</v>
      </c>
    </row>
    <row r="255" spans="1:2" ht="15" customHeight="1" thickBot="1">
      <c r="A255" s="282" t="str">
        <f>VLOOKUP(A254,'Іменні заявки'!$A:$J,2,FALSE)</f>
        <v>Левчук Федір Володимирович</v>
      </c>
      <c r="B255" s="283" t="str">
        <f>VLOOKUP(B254,'Іменні заявки'!$A:$J,2,FALSE)</f>
        <v>Корнєєва Наталія Юріївна</v>
      </c>
    </row>
    <row r="256" spans="1:2" ht="15" customHeight="1" thickTop="1">
      <c r="A256" s="279" t="str">
        <f>VLOOKUP(A257,'Іменні заявки'!$A:$J,7,FALSE)</f>
        <v>м. Нетішина</v>
      </c>
      <c r="B256" s="279" t="str">
        <f>VLOOKUP(B257,'Іменні заявки'!$A:$J,7,FALSE)</f>
        <v>м. Нетішина</v>
      </c>
    </row>
    <row r="257" spans="1:2" ht="104.25" customHeight="1">
      <c r="A257" s="280">
        <f>A245+10</f>
        <v>223</v>
      </c>
      <c r="B257" s="281">
        <f>B245+10</f>
        <v>224</v>
      </c>
    </row>
    <row r="258" spans="1:2" ht="15" customHeight="1" thickBot="1">
      <c r="A258" s="282" t="str">
        <f>VLOOKUP(A257,'Іменні заявки'!$A:$J,2,FALSE)</f>
        <v>Кондратюк Іван Миколайович</v>
      </c>
      <c r="B258" s="283" t="str">
        <f>VLOOKUP(B257,'Іменні заявки'!$A:$J,2,FALSE)</f>
        <v>Зінчук Лариса Романівна</v>
      </c>
    </row>
    <row r="259" spans="1:2" ht="15" customHeight="1" thickTop="1">
      <c r="A259" s="279" t="str">
        <f>VLOOKUP(A260,'Іменні заявки'!$A:$J,7,FALSE)</f>
        <v>м. Нетішина</v>
      </c>
      <c r="B259" s="279" t="str">
        <f>VLOOKUP(B260,'Іменні заявки'!$A:$J,7,FALSE)</f>
        <v>м. Нетішина</v>
      </c>
    </row>
    <row r="260" spans="1:2" ht="104.25" customHeight="1">
      <c r="A260" s="280">
        <f>A248+10</f>
        <v>225</v>
      </c>
      <c r="B260" s="281">
        <f>B248+10</f>
        <v>226</v>
      </c>
    </row>
    <row r="261" spans="1:2" ht="15" customHeight="1" thickBot="1">
      <c r="A261" s="282" t="str">
        <f>VLOOKUP(A260,'Іменні заявки'!$A:$J,2,FALSE)</f>
        <v>Ткачук Тетяна Анатоліївна</v>
      </c>
      <c r="B261" s="283" t="str">
        <f>VLOOKUP(B260,'Іменні заявки'!$A:$J,2,FALSE)</f>
        <v>Піддубняк Віктор Анатолійович</v>
      </c>
    </row>
    <row r="262" spans="1:2" ht="15" customHeight="1" thickTop="1">
      <c r="A262" s="279" t="str">
        <f>VLOOKUP(A263,'Іменні заявки'!$A:$J,7,FALSE)</f>
        <v>м. Нетішина</v>
      </c>
      <c r="B262" s="279" t="str">
        <f>VLOOKUP(B263,'Іменні заявки'!$A:$J,7,FALSE)</f>
        <v>м. Нетішина</v>
      </c>
    </row>
    <row r="263" spans="1:2" ht="104.25" customHeight="1">
      <c r="A263" s="280">
        <f>A251+10</f>
        <v>227</v>
      </c>
      <c r="B263" s="281">
        <f>B251+10</f>
        <v>228</v>
      </c>
    </row>
    <row r="264" spans="1:2" ht="15" customHeight="1" thickBot="1">
      <c r="A264" s="282" t="str">
        <f>VLOOKUP(A263,'Іменні заявки'!$A:$J,2,FALSE)</f>
        <v>Козачук Роман Іванович</v>
      </c>
      <c r="B264" s="283">
        <f>VLOOKUP(B263,'Іменні заявки'!$A:$J,2,FALSE)</f>
        <v>0</v>
      </c>
    </row>
    <row r="265" spans="1:2" ht="15" customHeight="1" thickTop="1">
      <c r="A265" s="279" t="str">
        <f>VLOOKUP(A266,'Іменні заявки'!$A:$J,7,FALSE)</f>
        <v>м.Славути</v>
      </c>
      <c r="B265" s="279" t="str">
        <f>VLOOKUP(B266,'Іменні заявки'!$A:$J,7,FALSE)</f>
        <v>м.Славути</v>
      </c>
    </row>
    <row r="266" spans="1:2" ht="104.25" customHeight="1">
      <c r="A266" s="280">
        <f>A254+10</f>
        <v>231</v>
      </c>
      <c r="B266" s="281">
        <f>B254+10</f>
        <v>232</v>
      </c>
    </row>
    <row r="267" spans="1:2" ht="15" customHeight="1" thickBot="1">
      <c r="A267" s="282" t="str">
        <f>VLOOKUP(A266,'Іменні заявки'!$A:$J,2,FALSE)</f>
        <v>Лук'янчук Олександр Вікторович</v>
      </c>
      <c r="B267" s="283" t="str">
        <f>VLOOKUP(B266,'Іменні заявки'!$A:$J,2,FALSE)</f>
        <v>Мулик Ярослав Євгенович</v>
      </c>
    </row>
    <row r="268" spans="1:2" ht="15" customHeight="1" thickTop="1">
      <c r="A268" s="279" t="str">
        <f>VLOOKUP(A269,'Іменні заявки'!$A:$J,7,FALSE)</f>
        <v>м.Славути</v>
      </c>
      <c r="B268" s="279" t="str">
        <f>VLOOKUP(B269,'Іменні заявки'!$A:$J,7,FALSE)</f>
        <v>м.Славути</v>
      </c>
    </row>
    <row r="269" spans="1:2" ht="104.25" customHeight="1">
      <c r="A269" s="280">
        <f>A257+10</f>
        <v>233</v>
      </c>
      <c r="B269" s="281">
        <f>B257+10</f>
        <v>234</v>
      </c>
    </row>
    <row r="270" spans="1:2" ht="15" customHeight="1" thickBot="1">
      <c r="A270" s="282" t="str">
        <f>VLOOKUP(A269,'Іменні заявки'!$A:$J,2,FALSE)</f>
        <v>Гайдук Богдан Вікторович</v>
      </c>
      <c r="B270" s="283" t="str">
        <f>VLOOKUP(B269,'Іменні заявки'!$A:$J,2,FALSE)</f>
        <v>Романюк Руслан Миколайович</v>
      </c>
    </row>
    <row r="271" spans="1:2" ht="15" customHeight="1" thickTop="1">
      <c r="A271" s="279" t="str">
        <f>VLOOKUP(A272,'Іменні заявки'!$A:$J,7,FALSE)</f>
        <v>м.Славути</v>
      </c>
      <c r="B271" s="279" t="str">
        <f>VLOOKUP(B272,'Іменні заявки'!$A:$J,7,FALSE)</f>
        <v>м.Славути</v>
      </c>
    </row>
    <row r="272" spans="1:2" ht="104.25" customHeight="1">
      <c r="A272" s="280">
        <f>A260+10</f>
        <v>235</v>
      </c>
      <c r="B272" s="281">
        <f>B260+10</f>
        <v>236</v>
      </c>
    </row>
    <row r="273" spans="1:2" ht="15" customHeight="1" thickBot="1">
      <c r="A273" s="282" t="str">
        <f>VLOOKUP(A272,'Іменні заявки'!$A:$J,2,FALSE)</f>
        <v>Сукач Олександр Андрійович</v>
      </c>
      <c r="B273" s="283" t="str">
        <f>VLOOKUP(B272,'Іменні заявки'!$A:$J,2,FALSE)</f>
        <v>Вакульчук Крістіна Григорівна</v>
      </c>
    </row>
    <row r="274" spans="1:2" ht="15" customHeight="1" thickTop="1">
      <c r="A274" s="279" t="str">
        <f>VLOOKUP(A275,'Іменні заявки'!$A:$J,7,FALSE)</f>
        <v>м.Славути</v>
      </c>
      <c r="B274" s="279" t="str">
        <f>VLOOKUP(B275,'Іменні заявки'!$A:$J,7,FALSE)</f>
        <v>м.Славути</v>
      </c>
    </row>
    <row r="275" spans="1:2" ht="104.25" customHeight="1">
      <c r="A275" s="280">
        <f>A263+10</f>
        <v>237</v>
      </c>
      <c r="B275" s="281">
        <f>B263+10</f>
        <v>238</v>
      </c>
    </row>
    <row r="276" spans="1:2" ht="15" customHeight="1" thickBot="1">
      <c r="A276" s="282" t="str">
        <f>VLOOKUP(A275,'Іменні заявки'!$A:$J,2,FALSE)</f>
        <v>Климчук Інна Павлівна</v>
      </c>
      <c r="B276" s="283" t="str">
        <f>VLOOKUP(B275,'Іменні заявки'!$A:$J,2,FALSE)</f>
        <v>Михальчишин Тарас Романович</v>
      </c>
    </row>
    <row r="277" spans="1:2" ht="15" customHeight="1" thickTop="1">
      <c r="A277" s="279" t="str">
        <f>VLOOKUP(A278,'Іменні заявки'!$A:$J,7,FALSE)</f>
        <v>м.Старокостянтинів</v>
      </c>
      <c r="B277" s="279" t="str">
        <f>VLOOKUP(B278,'Іменні заявки'!$A:$J,7,FALSE)</f>
        <v>м.Старокостянтинів</v>
      </c>
    </row>
    <row r="278" spans="1:2" ht="104.25" customHeight="1">
      <c r="A278" s="280">
        <f>A266+10</f>
        <v>241</v>
      </c>
      <c r="B278" s="281">
        <f>B266+10</f>
        <v>242</v>
      </c>
    </row>
    <row r="279" spans="1:2" ht="15" customHeight="1" thickBot="1">
      <c r="A279" s="282" t="str">
        <f>VLOOKUP(A278,'Іменні заявки'!$A:$J,2,FALSE)</f>
        <v>Скурський Сергій Анатолійович</v>
      </c>
      <c r="B279" s="283" t="str">
        <f>VLOOKUP(B278,'Іменні заявки'!$A:$J,2,FALSE)</f>
        <v>Михальчук Володимир Олексійович</v>
      </c>
    </row>
    <row r="280" spans="1:2" ht="15" customHeight="1" thickTop="1">
      <c r="A280" s="279" t="str">
        <f>VLOOKUP(A281,'Іменні заявки'!$A:$J,7,FALSE)</f>
        <v>м.Старокостянтинів</v>
      </c>
      <c r="B280" s="279" t="str">
        <f>VLOOKUP(B281,'Іменні заявки'!$A:$J,7,FALSE)</f>
        <v>м.Старокостянтинів</v>
      </c>
    </row>
    <row r="281" spans="1:2" ht="104.25" customHeight="1">
      <c r="A281" s="280">
        <f>A269+10</f>
        <v>243</v>
      </c>
      <c r="B281" s="281">
        <f>B269+10</f>
        <v>244</v>
      </c>
    </row>
    <row r="282" spans="1:2" ht="15" customHeight="1" thickBot="1">
      <c r="A282" s="282" t="str">
        <f>VLOOKUP(A281,'Іменні заявки'!$A:$J,2,FALSE)</f>
        <v>Рябова Вікторія Володимирівна</v>
      </c>
      <c r="B282" s="283" t="str">
        <f>VLOOKUP(B281,'Іменні заявки'!$A:$J,2,FALSE)</f>
        <v>Богуславський Вадим Леонідович</v>
      </c>
    </row>
    <row r="283" spans="1:2" ht="15" customHeight="1" thickTop="1">
      <c r="A283" s="279" t="str">
        <f>VLOOKUP(A284,'Іменні заявки'!$A:$J,7,FALSE)</f>
        <v>м.Старокостянтинів</v>
      </c>
      <c r="B283" s="279" t="str">
        <f>VLOOKUP(B284,'Іменні заявки'!$A:$J,7,FALSE)</f>
        <v>м.Старокостянтинів</v>
      </c>
    </row>
    <row r="284" spans="1:2" ht="104.25" customHeight="1">
      <c r="A284" s="280">
        <f>A272+10</f>
        <v>245</v>
      </c>
      <c r="B284" s="281">
        <f>B272+10</f>
        <v>246</v>
      </c>
    </row>
    <row r="285" spans="1:2" ht="15" customHeight="1" thickBot="1">
      <c r="A285" s="282" t="str">
        <f>VLOOKUP(A284,'Іменні заявки'!$A:$J,2,FALSE)</f>
        <v>Кольков Володимир Іванович</v>
      </c>
      <c r="B285" s="283" t="str">
        <f>VLOOKUP(B284,'Іменні заявки'!$A:$J,2,FALSE)</f>
        <v>Кравчук Віктор Володимирович</v>
      </c>
    </row>
    <row r="286" spans="1:2" ht="15" customHeight="1" thickTop="1">
      <c r="A286" s="279" t="str">
        <f>VLOOKUP(A287,'Іменні заявки'!$A:$J,7,FALSE)</f>
        <v>м.Старокостянтинів</v>
      </c>
      <c r="B286" s="279" t="str">
        <f>VLOOKUP(B287,'Іменні заявки'!$A:$J,7,FALSE)</f>
        <v>м.Старокостянтинів</v>
      </c>
    </row>
    <row r="287" spans="1:2" ht="104.25" customHeight="1">
      <c r="A287" s="280">
        <f>A275+10</f>
        <v>247</v>
      </c>
      <c r="B287" s="281">
        <f>B275+10</f>
        <v>248</v>
      </c>
    </row>
    <row r="288" spans="1:2" ht="15" customHeight="1" thickBot="1">
      <c r="A288" s="282" t="str">
        <f>VLOOKUP(A287,'Іменні заявки'!$A:$J,2,FALSE)</f>
        <v>Бабик Олександр Миколайович</v>
      </c>
      <c r="B288" s="283" t="str">
        <f>VLOOKUP(B287,'Іменні заявки'!$A:$J,2,FALSE)</f>
        <v>Каменярська Катерина Вікторівна</v>
      </c>
    </row>
    <row r="289" spans="1:2" ht="15" customHeight="1" thickTop="1">
      <c r="A289" s="279" t="str">
        <f>VLOOKUP(A290,'Іменні заявки'!$A:$J,7,FALSE)</f>
        <v>м.Хмельницького</v>
      </c>
      <c r="B289" s="279" t="str">
        <f>VLOOKUP(B290,'Іменні заявки'!$A:$J,7,FALSE)</f>
        <v>м.Хмельницького</v>
      </c>
    </row>
    <row r="290" spans="1:2" ht="104.25" customHeight="1">
      <c r="A290" s="280">
        <f>A278+10</f>
        <v>251</v>
      </c>
      <c r="B290" s="281">
        <f>B278+10</f>
        <v>252</v>
      </c>
    </row>
    <row r="291" spans="1:2" ht="15" customHeight="1" thickBot="1">
      <c r="A291" s="282" t="str">
        <f>VLOOKUP(A290,'Іменні заявки'!$A:$J,2,FALSE)</f>
        <v>Габай Юрій Васильович</v>
      </c>
      <c r="B291" s="283" t="str">
        <f>VLOOKUP(B290,'Іменні заявки'!$A:$J,2,FALSE)</f>
        <v>Мулько Михайло Володимиович</v>
      </c>
    </row>
    <row r="292" spans="1:2" ht="15" customHeight="1" thickTop="1">
      <c r="A292" s="279" t="str">
        <f>VLOOKUP(A293,'Іменні заявки'!$A:$J,7,FALSE)</f>
        <v>м.Хмельницького</v>
      </c>
      <c r="B292" s="279" t="str">
        <f>VLOOKUP(B293,'Іменні заявки'!$A:$J,7,FALSE)</f>
        <v>м.Хмельницького</v>
      </c>
    </row>
    <row r="293" spans="1:2" ht="104.25" customHeight="1">
      <c r="A293" s="280">
        <f>A281+10</f>
        <v>253</v>
      </c>
      <c r="B293" s="281">
        <f>B281+10</f>
        <v>254</v>
      </c>
    </row>
    <row r="294" spans="1:2" ht="15" customHeight="1" thickBot="1">
      <c r="A294" s="282" t="str">
        <f>VLOOKUP(A293,'Іменні заявки'!$A:$J,2,FALSE)</f>
        <v>Батажук Андрій Ігорович</v>
      </c>
      <c r="B294" s="283" t="str">
        <f>VLOOKUP(B293,'Іменні заявки'!$A:$J,2,FALSE)</f>
        <v>Євтодій Максим Сергійович</v>
      </c>
    </row>
    <row r="295" spans="1:2" ht="15" customHeight="1" thickTop="1">
      <c r="A295" s="279" t="str">
        <f>VLOOKUP(A296,'Іменні заявки'!$A:$J,7,FALSE)</f>
        <v>м.Хмельницького</v>
      </c>
      <c r="B295" s="279" t="str">
        <f>VLOOKUP(B296,'Іменні заявки'!$A:$J,7,FALSE)</f>
        <v>м.Хмельницького</v>
      </c>
    </row>
    <row r="296" spans="1:2" ht="104.25" customHeight="1">
      <c r="A296" s="280">
        <f>A284+10</f>
        <v>255</v>
      </c>
      <c r="B296" s="281">
        <f>B284+10</f>
        <v>256</v>
      </c>
    </row>
    <row r="297" spans="1:2" ht="15" customHeight="1" thickBot="1">
      <c r="A297" s="282" t="str">
        <f>VLOOKUP(A296,'Іменні заявки'!$A:$J,2,FALSE)</f>
        <v>Бондар Андрій Вікторович</v>
      </c>
      <c r="B297" s="283" t="str">
        <f>VLOOKUP(B296,'Іменні заявки'!$A:$J,2,FALSE)</f>
        <v>Соболевська Інні Петрівна</v>
      </c>
    </row>
    <row r="298" spans="1:2" ht="15" customHeight="1" thickTop="1">
      <c r="A298" s="279" t="str">
        <f>VLOOKUP(A299,'Іменні заявки'!$A:$J,7,FALSE)</f>
        <v>м.Хмельницького</v>
      </c>
      <c r="B298" s="279" t="str">
        <f>VLOOKUP(B299,'Іменні заявки'!$A:$J,7,FALSE)</f>
        <v>м.Хмельницького</v>
      </c>
    </row>
    <row r="299" spans="1:2" ht="104.25" customHeight="1">
      <c r="A299" s="280">
        <f>A287+10</f>
        <v>257</v>
      </c>
      <c r="B299" s="281">
        <f>B287+10</f>
        <v>258</v>
      </c>
    </row>
    <row r="300" spans="1:2" ht="15" customHeight="1" thickBot="1">
      <c r="A300" s="282" t="str">
        <f>VLOOKUP(A299,'Іменні заявки'!$A:$J,2,FALSE)</f>
        <v>Храпач Андрій Віталійович</v>
      </c>
      <c r="B300" s="283" t="str">
        <f>VLOOKUP(B299,'Іменні заявки'!$A:$J,2,FALSE)</f>
        <v>Лиса Марія Степанівна</v>
      </c>
    </row>
    <row r="301" spans="1:2" ht="15" customHeight="1" thickTop="1">
      <c r="A301" s="279" t="str">
        <f>VLOOKUP(A302,'Іменні заявки'!$A:$J,7,FALSE)</f>
        <v>м.Шепетівки</v>
      </c>
      <c r="B301" s="279" t="str">
        <f>VLOOKUP(B302,'Іменні заявки'!$A:$J,7,FALSE)</f>
        <v>м.Шепетівки</v>
      </c>
    </row>
    <row r="302" spans="1:2" ht="104.25" customHeight="1">
      <c r="A302" s="280">
        <f>A290+10</f>
        <v>261</v>
      </c>
      <c r="B302" s="281">
        <f>B290+10</f>
        <v>262</v>
      </c>
    </row>
    <row r="303" spans="1:2" ht="15" customHeight="1" thickBot="1">
      <c r="A303" s="282" t="str">
        <f>VLOOKUP(A302,'Іменні заявки'!$A:$J,2,FALSE)</f>
        <v>Загоронюк Юрій Олександрович</v>
      </c>
      <c r="B303" s="283" t="str">
        <f>VLOOKUP(B302,'Іменні заявки'!$A:$J,2,FALSE)</f>
        <v>Гетманчук Олена Володимирівна</v>
      </c>
    </row>
    <row r="304" spans="1:2" ht="15" customHeight="1" thickTop="1">
      <c r="A304" s="279" t="str">
        <f>VLOOKUP(A305,'Іменні заявки'!$A:$J,7,FALSE)</f>
        <v>м.Шепетівки</v>
      </c>
      <c r="B304" s="279" t="str">
        <f>VLOOKUP(B305,'Іменні заявки'!$A:$J,7,FALSE)</f>
        <v>м.Шепетівки</v>
      </c>
    </row>
    <row r="305" spans="1:2" ht="104.25" customHeight="1">
      <c r="A305" s="280">
        <f>A293+10</f>
        <v>263</v>
      </c>
      <c r="B305" s="281">
        <f>B293+10</f>
        <v>264</v>
      </c>
    </row>
    <row r="306" spans="1:2" ht="15" customHeight="1" thickBot="1">
      <c r="A306" s="282" t="str">
        <f>VLOOKUP(A305,'Іменні заявки'!$A:$J,2,FALSE)</f>
        <v>Чілій Володимир Анатолійович</v>
      </c>
      <c r="B306" s="283" t="str">
        <f>VLOOKUP(B305,'Іменні заявки'!$A:$J,2,FALSE)</f>
        <v>Дмитрук Вадим Миколайович</v>
      </c>
    </row>
    <row r="307" spans="1:2" ht="15" customHeight="1" thickTop="1">
      <c r="A307" s="279" t="str">
        <f>VLOOKUP(A308,'Іменні заявки'!$A:$J,7,FALSE)</f>
        <v>м.Шепетівки</v>
      </c>
      <c r="B307" s="279" t="str">
        <f>VLOOKUP(B308,'Іменні заявки'!$A:$J,7,FALSE)</f>
        <v>м.Шепетівки</v>
      </c>
    </row>
    <row r="308" spans="1:2" ht="104.25" customHeight="1">
      <c r="A308" s="280">
        <f>A296+10</f>
        <v>265</v>
      </c>
      <c r="B308" s="281">
        <f>B296+10</f>
        <v>266</v>
      </c>
    </row>
    <row r="309" spans="1:2" ht="15" customHeight="1" thickBot="1">
      <c r="A309" s="282" t="str">
        <f>VLOOKUP(A308,'Іменні заявки'!$A:$J,2,FALSE)</f>
        <v>Мельник Анастасія Олександрівна</v>
      </c>
      <c r="B309" s="283" t="str">
        <f>VLOOKUP(B308,'Іменні заявки'!$A:$J,2,FALSE)</f>
        <v>Комкар Володимир Сергійович</v>
      </c>
    </row>
    <row r="310" spans="1:2" ht="15" customHeight="1" thickTop="1">
      <c r="A310" s="279" t="str">
        <f>VLOOKUP(A311,'Іменні заявки'!$A:$J,7,FALSE)</f>
        <v>м.Шепетівки</v>
      </c>
      <c r="B310" s="279" t="str">
        <f>VLOOKUP(B311,'Іменні заявки'!$A:$J,7,FALSE)</f>
        <v>м.Шепетівки</v>
      </c>
    </row>
    <row r="311" spans="1:2" ht="104.25" customHeight="1">
      <c r="A311" s="280">
        <f>A299+10</f>
        <v>267</v>
      </c>
      <c r="B311" s="281">
        <f>B299+10</f>
        <v>268</v>
      </c>
    </row>
    <row r="312" spans="1:2" ht="15" customHeight="1" thickBot="1">
      <c r="A312" s="282" t="str">
        <f>VLOOKUP(A311,'Іменні заявки'!$A:$J,2,FALSE)</f>
        <v>Самойлюк Володимир Трохимович</v>
      </c>
      <c r="B312" s="283" t="str">
        <f>VLOOKUP(B311,'Іменні заявки'!$A:$J,2,FALSE)</f>
        <v>Гетманчук Сергій Анатолійович</v>
      </c>
    </row>
    <row r="313" spans="1:2" ht="15" customHeight="1" thickTop="1">
      <c r="A313" s="279">
        <f>VLOOKUP(A314,'Іменні заявки'!$A:$J,7,FALSE)</f>
      </c>
      <c r="B313" s="279">
        <f>VLOOKUP(B314,'Іменні заявки'!$A:$J,7,FALSE)</f>
      </c>
    </row>
    <row r="314" spans="1:2" ht="104.25" customHeight="1">
      <c r="A314" s="280">
        <f>A302+10</f>
        <v>271</v>
      </c>
      <c r="B314" s="281">
        <f>B302+10</f>
        <v>272</v>
      </c>
    </row>
    <row r="315" spans="1:2" ht="15" customHeight="1" thickBot="1">
      <c r="A315" s="282">
        <f>VLOOKUP(A314,'Іменні заявки'!$A:$J,2,FALSE)</f>
        <v>0</v>
      </c>
      <c r="B315" s="283">
        <f>VLOOKUP(B314,'Іменні заявки'!$A:$J,2,FALSE)</f>
        <v>0</v>
      </c>
    </row>
    <row r="316" spans="1:2" ht="15" customHeight="1" thickTop="1">
      <c r="A316" s="279">
        <f>VLOOKUP(A317,'Іменні заявки'!$A:$J,7,FALSE)</f>
      </c>
      <c r="B316" s="279">
        <f>VLOOKUP(B317,'Іменні заявки'!$A:$J,7,FALSE)</f>
      </c>
    </row>
    <row r="317" spans="1:2" ht="104.25" customHeight="1">
      <c r="A317" s="280">
        <f>A305+10</f>
        <v>273</v>
      </c>
      <c r="B317" s="281">
        <f>B305+10</f>
        <v>274</v>
      </c>
    </row>
    <row r="318" spans="1:2" ht="15" customHeight="1" thickBot="1">
      <c r="A318" s="282">
        <f>VLOOKUP(A317,'Іменні заявки'!$A:$J,2,FALSE)</f>
        <v>0</v>
      </c>
      <c r="B318" s="283">
        <f>VLOOKUP(B317,'Іменні заявки'!$A:$J,2,FALSE)</f>
        <v>0</v>
      </c>
    </row>
    <row r="319" spans="1:2" ht="15" customHeight="1" thickTop="1">
      <c r="A319" s="279">
        <f>VLOOKUP(A320,'Іменні заявки'!$A:$J,7,FALSE)</f>
      </c>
      <c r="B319" s="279">
        <f>VLOOKUP(B320,'Іменні заявки'!$A:$J,7,FALSE)</f>
      </c>
    </row>
    <row r="320" spans="1:2" ht="104.25" customHeight="1">
      <c r="A320" s="280">
        <f>A308+10</f>
        <v>275</v>
      </c>
      <c r="B320" s="281">
        <f>B308+10</f>
        <v>276</v>
      </c>
    </row>
    <row r="321" spans="1:2" ht="15" customHeight="1" thickBot="1">
      <c r="A321" s="282">
        <f>VLOOKUP(A320,'Іменні заявки'!$A:$J,2,FALSE)</f>
        <v>0</v>
      </c>
      <c r="B321" s="283">
        <f>VLOOKUP(B320,'Іменні заявки'!$A:$J,2,FALSE)</f>
        <v>0</v>
      </c>
    </row>
    <row r="322" spans="1:2" ht="15" customHeight="1" thickTop="1">
      <c r="A322" s="279">
        <f>VLOOKUP(A323,'Іменні заявки'!$A:$J,7,FALSE)</f>
      </c>
      <c r="B322" s="279">
        <f>VLOOKUP(B323,'Іменні заявки'!$A:$J,7,FALSE)</f>
      </c>
    </row>
    <row r="323" spans="1:2" ht="104.25" customHeight="1">
      <c r="A323" s="280">
        <f>A311+10</f>
        <v>277</v>
      </c>
      <c r="B323" s="281">
        <f>B311+10</f>
        <v>278</v>
      </c>
    </row>
    <row r="324" spans="1:2" ht="15" customHeight="1" thickBot="1">
      <c r="A324" s="282">
        <f>VLOOKUP(A323,'Іменні заявки'!$A:$J,2,FALSE)</f>
        <v>0</v>
      </c>
      <c r="B324" s="283">
        <f>VLOOKUP(B323,'Іменні заявки'!$A:$J,2,FALSE)</f>
        <v>0</v>
      </c>
    </row>
    <row r="325" ht="16.5" thickTop="1">
      <c r="A325" s="22" t="s">
        <v>113</v>
      </c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horizontalDpi="200" verticalDpi="200" orientation="portrait" paperSize="9" r:id="rId3"/>
  <rowBreaks count="26" manualBreakCount="26">
    <brk id="12" max="255" man="1"/>
    <brk id="24" max="1" man="1"/>
    <brk id="36" max="255" man="1"/>
    <brk id="48" max="255" man="1"/>
    <brk id="60" max="255" man="1"/>
    <brk id="72" max="255" man="1"/>
    <brk id="84" max="255" man="1"/>
    <brk id="96" max="255" man="1"/>
    <brk id="108" max="255" man="1"/>
    <brk id="120" max="255" man="1"/>
    <brk id="132" max="255" man="1"/>
    <brk id="144" max="255" man="1"/>
    <brk id="156" max="255" man="1"/>
    <brk id="168" max="255" man="1"/>
    <brk id="180" max="255" man="1"/>
    <brk id="192" max="255" man="1"/>
    <brk id="204" max="255" man="1"/>
    <brk id="216" max="255" man="1"/>
    <brk id="228" max="255" man="1"/>
    <brk id="240" max="255" man="1"/>
    <brk id="252" max="255" man="1"/>
    <brk id="264" max="255" man="1"/>
    <brk id="276" max="255" man="1"/>
    <brk id="288" max="255" man="1"/>
    <brk id="300" max="255" man="1"/>
    <brk id="312" max="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48"/>
  <sheetViews>
    <sheetView view="pageBreakPreview" zoomScale="90" zoomScaleSheetLayoutView="90" zoomScalePageLayoutView="0" workbookViewId="0" topLeftCell="A19">
      <selection activeCell="A33" sqref="A33:IV42"/>
    </sheetView>
  </sheetViews>
  <sheetFormatPr defaultColWidth="9.00390625" defaultRowHeight="12.75"/>
  <cols>
    <col min="1" max="1" width="5.75390625" style="0" customWidth="1"/>
    <col min="2" max="2" width="20.00390625" style="0" customWidth="1"/>
    <col min="3" max="3" width="4.375" style="0" customWidth="1"/>
    <col min="4" max="4" width="31.25390625" style="0" customWidth="1"/>
    <col min="5" max="12" width="8.375" style="0" customWidth="1"/>
  </cols>
  <sheetData>
    <row r="1" spans="3:12" ht="17.25" customHeight="1">
      <c r="C1" s="464" t="str">
        <f>'Іменні заявки'!C1</f>
        <v>Департамент освіти і науки Хмельницької обласної державної адміністрації</v>
      </c>
      <c r="D1" s="464"/>
      <c r="E1" s="464"/>
      <c r="F1" s="464"/>
      <c r="G1" s="464"/>
      <c r="H1" s="464"/>
      <c r="I1" s="464"/>
      <c r="J1" s="464"/>
      <c r="K1" s="464"/>
      <c r="L1" s="464"/>
    </row>
    <row r="2" spans="3:12" ht="17.25" customHeight="1">
      <c r="C2" s="465" t="str">
        <f>'Іменні заявки'!C2</f>
        <v>ХМЕЛЬНИЦЬКИЙ ОБЛАСНИЙ ЦЕНТР ТУРИЗМУ І КРАЄЗНАВСТВА УЧНІВСЬКОЇ МОЛОДІ</v>
      </c>
      <c r="D2" s="465"/>
      <c r="E2" s="465"/>
      <c r="F2" s="465"/>
      <c r="G2" s="465"/>
      <c r="H2" s="465"/>
      <c r="I2" s="465"/>
      <c r="J2" s="465"/>
      <c r="K2" s="465"/>
      <c r="L2" s="465"/>
    </row>
    <row r="3" spans="3:12" ht="12.75" customHeight="1">
      <c r="C3" s="446" t="s">
        <v>96</v>
      </c>
      <c r="D3" s="446"/>
      <c r="E3" s="446"/>
      <c r="F3" s="446"/>
      <c r="G3" s="446"/>
      <c r="H3" s="446"/>
      <c r="I3" s="446"/>
      <c r="J3" s="446"/>
      <c r="K3" s="446"/>
      <c r="L3" s="446"/>
    </row>
    <row r="4" spans="3:12" ht="9.75" customHeight="1">
      <c r="C4" s="3"/>
      <c r="D4" s="3"/>
      <c r="E4" s="3"/>
      <c r="F4" s="3"/>
      <c r="G4" s="3"/>
      <c r="H4" s="3"/>
      <c r="I4" s="3"/>
      <c r="J4" s="3"/>
      <c r="K4" s="3"/>
      <c r="L4" s="3"/>
    </row>
    <row r="5" spans="3:12" ht="18.75">
      <c r="C5" s="466" t="s">
        <v>97</v>
      </c>
      <c r="D5" s="466"/>
      <c r="E5" s="466"/>
      <c r="F5" s="466"/>
      <c r="G5" s="466"/>
      <c r="H5" s="466"/>
      <c r="I5" s="466"/>
      <c r="J5" s="466"/>
      <c r="K5" s="466"/>
      <c r="L5" s="466"/>
    </row>
    <row r="6" spans="3:12" ht="9" customHeight="1">
      <c r="C6" s="3"/>
      <c r="D6" s="3"/>
      <c r="E6" s="3"/>
      <c r="F6" s="3"/>
      <c r="G6" s="3"/>
      <c r="H6" s="3"/>
      <c r="I6" s="3"/>
      <c r="J6" s="3"/>
      <c r="K6" s="3"/>
      <c r="L6" s="3"/>
    </row>
    <row r="7" spans="3:12" ht="12.75">
      <c r="C7" s="462" t="s">
        <v>262</v>
      </c>
      <c r="D7" s="463"/>
      <c r="E7" s="463"/>
      <c r="F7" s="463"/>
      <c r="G7" s="463"/>
      <c r="H7" s="463"/>
      <c r="I7" s="463"/>
      <c r="J7" s="463"/>
      <c r="K7" s="463"/>
      <c r="L7" s="463"/>
    </row>
    <row r="8" spans="3:12" ht="12.75" customHeight="1">
      <c r="C8" s="446" t="s">
        <v>98</v>
      </c>
      <c r="D8" s="446"/>
      <c r="E8" s="446"/>
      <c r="F8" s="446"/>
      <c r="G8" s="446"/>
      <c r="H8" s="446"/>
      <c r="I8" s="446"/>
      <c r="J8" s="446"/>
      <c r="K8" s="446"/>
      <c r="L8" s="446"/>
    </row>
    <row r="9" spans="3:12" ht="9.75" customHeight="1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12.75">
      <c r="C10" s="3" t="str">
        <f>'Іменні заявки'!C4</f>
        <v>ур.Новики Старокостянтинівського р-ну</v>
      </c>
      <c r="D10" s="3"/>
      <c r="E10" s="3"/>
      <c r="F10" s="3"/>
      <c r="G10" s="3"/>
      <c r="H10" s="3"/>
      <c r="I10" s="3"/>
      <c r="J10" s="3"/>
      <c r="K10" s="3"/>
      <c r="L10" s="29" t="str">
        <f>'Іменні заявки'!C5</f>
        <v>08-12 жовтня 2015 року</v>
      </c>
    </row>
    <row r="11" spans="3:12" ht="12.75" customHeight="1">
      <c r="C11" s="446" t="s">
        <v>99</v>
      </c>
      <c r="D11" s="446"/>
      <c r="E11" s="446"/>
      <c r="F11" s="446"/>
      <c r="G11" s="446"/>
      <c r="H11" s="446"/>
      <c r="I11" s="446"/>
      <c r="J11" s="446"/>
      <c r="K11" s="446"/>
      <c r="L11" s="446"/>
    </row>
    <row r="12" spans="3:12" ht="10.5" customHeight="1" thickBot="1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19.5" thickBot="1">
      <c r="C13" s="447" t="s">
        <v>100</v>
      </c>
      <c r="D13" s="450" t="s">
        <v>40</v>
      </c>
      <c r="E13" s="453" t="s">
        <v>101</v>
      </c>
      <c r="F13" s="454"/>
      <c r="G13" s="454"/>
      <c r="H13" s="454"/>
      <c r="I13" s="454"/>
      <c r="J13" s="454"/>
      <c r="K13" s="455"/>
      <c r="L13" s="456" t="s">
        <v>102</v>
      </c>
    </row>
    <row r="14" spans="3:12" ht="18.75">
      <c r="C14" s="448"/>
      <c r="D14" s="451"/>
      <c r="E14" s="459" t="s">
        <v>103</v>
      </c>
      <c r="F14" s="460"/>
      <c r="G14" s="460"/>
      <c r="H14" s="460"/>
      <c r="I14" s="461"/>
      <c r="J14" s="459" t="s">
        <v>83</v>
      </c>
      <c r="K14" s="461"/>
      <c r="L14" s="457"/>
    </row>
    <row r="15" spans="3:12" ht="18.75" customHeight="1" thickBot="1">
      <c r="C15" s="449"/>
      <c r="D15" s="452"/>
      <c r="E15" s="15" t="s">
        <v>94</v>
      </c>
      <c r="F15" s="16" t="s">
        <v>95</v>
      </c>
      <c r="G15" s="16" t="s">
        <v>93</v>
      </c>
      <c r="H15" s="16" t="s">
        <v>104</v>
      </c>
      <c r="I15" s="17" t="s">
        <v>105</v>
      </c>
      <c r="J15" s="15" t="s">
        <v>106</v>
      </c>
      <c r="K15" s="17" t="s">
        <v>107</v>
      </c>
      <c r="L15" s="458"/>
    </row>
    <row r="16" spans="1:12" ht="18.75" customHeight="1">
      <c r="A16" s="137">
        <v>10</v>
      </c>
      <c r="B16" s="138" t="str">
        <f>VLOOKUP(A16,'Іменні заявки'!$A:$J,8,FALSE)</f>
        <v>Білогірський р-н</v>
      </c>
      <c r="C16" s="30">
        <f>IF(ISTEXT(D16),COUNTIF($D$16:D16,"&lt;&gt;0"),"")</f>
        <v>1</v>
      </c>
      <c r="D16" s="31" t="str">
        <f>VLOOKUP(A16,'Іменні заявки'!$A:$J,7,FALSE)</f>
        <v>Білогірського р-ну</v>
      </c>
      <c r="E16" s="32" t="str">
        <f>VLOOKUP($A16,'Іменні заявки'!$A:$AK,31,FALSE)</f>
        <v>—</v>
      </c>
      <c r="F16" s="33" t="str">
        <f>VLOOKUP($A16,'Іменні заявки'!$A:$AK,32,FALSE)</f>
        <v>—</v>
      </c>
      <c r="G16" s="33" t="str">
        <f>VLOOKUP($A16,'Іменні заявки'!$A:$AK,33,FALSE)</f>
        <v>—</v>
      </c>
      <c r="H16" s="33" t="str">
        <f>VLOOKUP($A16,'Іменні заявки'!$A:$AK,34,FALSE)</f>
        <v>—</v>
      </c>
      <c r="I16" s="34" t="str">
        <f>VLOOKUP($A16,'Іменні заявки'!$A:$AK,35,FALSE)</f>
        <v>—</v>
      </c>
      <c r="J16" s="35">
        <f>VLOOKUP($A16,'Іменні заявки'!$A:$AK,36,FALSE)</f>
        <v>7</v>
      </c>
      <c r="K16" s="36">
        <f>VLOOKUP($A16,'Іменні заявки'!$A:$AK,37,FALSE)</f>
        <v>1</v>
      </c>
      <c r="L16" s="37"/>
    </row>
    <row r="17" spans="1:12" ht="18.75" customHeight="1">
      <c r="A17" s="137">
        <v>20</v>
      </c>
      <c r="B17" s="138" t="str">
        <f>VLOOKUP(A17,'Іменні заявки'!$A:$J,8,FALSE)</f>
        <v>Віньковецький р-н</v>
      </c>
      <c r="C17" s="38">
        <f>IF(ISTEXT(D17),COUNTIF($D$16:D17,"&lt;&gt;0"),"")</f>
        <v>2</v>
      </c>
      <c r="D17" s="39" t="str">
        <f>VLOOKUP(A17,'Іменні заявки'!$A:$J,7,FALSE)</f>
        <v>Віньковецького р-ну</v>
      </c>
      <c r="E17" s="40" t="str">
        <f>VLOOKUP($A17,'Іменні заявки'!$A:$AK,31,FALSE)</f>
        <v>—</v>
      </c>
      <c r="F17" s="41" t="str">
        <f>VLOOKUP($A17,'Іменні заявки'!$A:$AK,32,FALSE)</f>
        <v>—</v>
      </c>
      <c r="G17" s="41" t="str">
        <f>VLOOKUP($A17,'Іменні заявки'!$A:$AK,33,FALSE)</f>
        <v>—</v>
      </c>
      <c r="H17" s="41" t="str">
        <f>VLOOKUP($A17,'Іменні заявки'!$A:$AK,34,FALSE)</f>
        <v>—</v>
      </c>
      <c r="I17" s="42" t="str">
        <f>VLOOKUP($A17,'Іменні заявки'!$A:$AK,35,FALSE)</f>
        <v>—</v>
      </c>
      <c r="J17" s="43">
        <f>VLOOKUP($A17,'Іменні заявки'!$A:$AK,36,FALSE)</f>
        <v>4</v>
      </c>
      <c r="K17" s="44">
        <f>VLOOKUP($A17,'Іменні заявки'!$A:$AK,37,FALSE)</f>
        <v>3</v>
      </c>
      <c r="L17" s="45"/>
    </row>
    <row r="18" spans="1:12" ht="18.75" customHeight="1" thickBot="1">
      <c r="A18" s="137">
        <v>50</v>
      </c>
      <c r="B18" s="138" t="str">
        <f>VLOOKUP(A18,'Іменні заявки'!$A:$J,8,FALSE)</f>
        <v>Деражнянський р-н</v>
      </c>
      <c r="C18" s="38">
        <f>IF(ISTEXT(D18),COUNTIF($D$16:D18,"&lt;&gt;0"),"")</f>
        <v>3</v>
      </c>
      <c r="D18" s="39" t="str">
        <f>VLOOKUP(A18,'Іменні заявки'!$A:$J,7,FALSE)</f>
        <v>Деражнянського р-ну</v>
      </c>
      <c r="E18" s="40" t="str">
        <f>VLOOKUP($A18,'Іменні заявки'!$A:$AK,31,FALSE)</f>
        <v>—</v>
      </c>
      <c r="F18" s="41">
        <f>VLOOKUP($A18,'Іменні заявки'!$A:$AK,32,FALSE)</f>
        <v>1</v>
      </c>
      <c r="G18" s="41">
        <f>VLOOKUP($A18,'Іменні заявки'!$A:$AK,33,FALSE)</f>
        <v>1</v>
      </c>
      <c r="H18" s="41" t="str">
        <f>VLOOKUP($A18,'Іменні заявки'!$A:$AK,34,FALSE)</f>
        <v>—</v>
      </c>
      <c r="I18" s="42" t="str">
        <f>VLOOKUP($A18,'Іменні заявки'!$A:$AK,35,FALSE)</f>
        <v>—</v>
      </c>
      <c r="J18" s="43">
        <f>VLOOKUP($A18,'Іменні заявки'!$A:$AK,36,FALSE)</f>
        <v>4</v>
      </c>
      <c r="K18" s="44">
        <f>VLOOKUP($A18,'Іменні заявки'!$A:$AK,37,FALSE)</f>
        <v>3</v>
      </c>
      <c r="L18" s="45"/>
    </row>
    <row r="19" spans="1:12" ht="18.75" customHeight="1">
      <c r="A19" s="137">
        <v>60</v>
      </c>
      <c r="B19" s="138" t="str">
        <f>VLOOKUP(A19,'Іменні заявки'!$A:$J,8,FALSE)</f>
        <v>Дунаєвецький р-н</v>
      </c>
      <c r="C19" s="38">
        <f>IF(ISTEXT(D19),COUNTIF($D$16:D19,"&lt;&gt;0"),"")</f>
        <v>4</v>
      </c>
      <c r="D19" s="39" t="str">
        <f>VLOOKUP(A19,'Іменні заявки'!$A:$J,7,FALSE)</f>
        <v>Дунаєвецького р-ну</v>
      </c>
      <c r="E19" s="32">
        <f>VLOOKUP($A19,'Іменні заявки'!$A:$AK,31,FALSE)</f>
        <v>1</v>
      </c>
      <c r="F19" s="41" t="str">
        <f>VLOOKUP($A19,'Іменні заявки'!$A:$AK,32,FALSE)</f>
        <v>—</v>
      </c>
      <c r="G19" s="41" t="str">
        <f>VLOOKUP($A19,'Іменні заявки'!$A:$AK,33,FALSE)</f>
        <v>—</v>
      </c>
      <c r="H19" s="41" t="str">
        <f>VLOOKUP($A19,'Іменні заявки'!$A:$AK,34,FALSE)</f>
        <v>—</v>
      </c>
      <c r="I19" s="42" t="str">
        <f>VLOOKUP($A19,'Іменні заявки'!$A:$AK,35,FALSE)</f>
        <v>—</v>
      </c>
      <c r="J19" s="43">
        <f>VLOOKUP($A19,'Іменні заявки'!$A:$AK,36,FALSE)</f>
        <v>6</v>
      </c>
      <c r="K19" s="44">
        <f>VLOOKUP($A19,'Іменні заявки'!$A:$AK,37,FALSE)</f>
        <v>2</v>
      </c>
      <c r="L19" s="45"/>
    </row>
    <row r="20" spans="1:12" ht="18.75" customHeight="1">
      <c r="A20" s="137">
        <v>90</v>
      </c>
      <c r="B20" s="138" t="str">
        <f>VLOOKUP(A20,'Іменні заявки'!$A:$J,8,FALSE)</f>
        <v>Красилівський р-н</v>
      </c>
      <c r="C20" s="38">
        <f>IF(ISTEXT(D20),COUNTIF($D$16:D20,"&lt;&gt;0"),"")</f>
        <v>5</v>
      </c>
      <c r="D20" s="39" t="str">
        <f>VLOOKUP(A20,'Іменні заявки'!$A:$J,7,FALSE)</f>
        <v>Красилівського р-ну</v>
      </c>
      <c r="E20" s="40" t="str">
        <f>VLOOKUP($A20,'Іменні заявки'!$A:$AK,31,FALSE)</f>
        <v>—</v>
      </c>
      <c r="F20" s="41" t="str">
        <f>VLOOKUP($A20,'Іменні заявки'!$A:$AK,32,FALSE)</f>
        <v>—</v>
      </c>
      <c r="G20" s="41" t="str">
        <f>VLOOKUP($A20,'Іменні заявки'!$A:$AK,33,FALSE)</f>
        <v>—</v>
      </c>
      <c r="H20" s="41" t="str">
        <f>VLOOKUP($A20,'Іменні заявки'!$A:$AK,34,FALSE)</f>
        <v>—</v>
      </c>
      <c r="I20" s="42" t="str">
        <f>VLOOKUP($A20,'Іменні заявки'!$A:$AK,35,FALSE)</f>
        <v>—</v>
      </c>
      <c r="J20" s="43">
        <f>VLOOKUP($A20,'Іменні заявки'!$A:$AK,36,FALSE)</f>
        <v>5</v>
      </c>
      <c r="K20" s="44">
        <f>VLOOKUP($A20,'Іменні заявки'!$A:$AK,37,FALSE)</f>
        <v>2</v>
      </c>
      <c r="L20" s="45"/>
    </row>
    <row r="21" spans="1:12" ht="18.75" customHeight="1">
      <c r="A21" s="137">
        <v>110</v>
      </c>
      <c r="B21" s="138" t="str">
        <f>VLOOKUP(A21,'Іменні заявки'!$A:$J,8,FALSE)</f>
        <v>Новоушицький р-н</v>
      </c>
      <c r="C21" s="38">
        <f>IF(ISTEXT(D21),COUNTIF($D$16:D21,"&lt;&gt;0"),"")</f>
        <v>6</v>
      </c>
      <c r="D21" s="39" t="str">
        <f>VLOOKUP(A21,'Іменні заявки'!$A:$J,7,FALSE)</f>
        <v>Новоушицького р-ну</v>
      </c>
      <c r="E21" s="40" t="str">
        <f>VLOOKUP($A21,'Іменні заявки'!$A:$AK,31,FALSE)</f>
        <v>—</v>
      </c>
      <c r="F21" s="41" t="str">
        <f>VLOOKUP($A21,'Іменні заявки'!$A:$AK,32,FALSE)</f>
        <v>—</v>
      </c>
      <c r="G21" s="41" t="str">
        <f>VLOOKUP($A21,'Іменні заявки'!$A:$AK,33,FALSE)</f>
        <v>—</v>
      </c>
      <c r="H21" s="41" t="str">
        <f>VLOOKUP($A21,'Іменні заявки'!$A:$AK,34,FALSE)</f>
        <v>—</v>
      </c>
      <c r="I21" s="42" t="str">
        <f>VLOOKUP($A21,'Іменні заявки'!$A:$AK,35,FALSE)</f>
        <v>—</v>
      </c>
      <c r="J21" s="43">
        <f>VLOOKUP($A21,'Іменні заявки'!$A:$AK,36,FALSE)</f>
        <v>6</v>
      </c>
      <c r="K21" s="44">
        <f>VLOOKUP($A21,'Іменні заявки'!$A:$AK,37,FALSE)</f>
        <v>2</v>
      </c>
      <c r="L21" s="45"/>
    </row>
    <row r="22" spans="1:12" ht="18.75" customHeight="1">
      <c r="A22" s="137">
        <v>120</v>
      </c>
      <c r="B22" s="138" t="str">
        <f>VLOOKUP(A22,'Іменні заявки'!$A:$J,8,FALSE)</f>
        <v>Полонський р-н</v>
      </c>
      <c r="C22" s="38">
        <f>IF(ISTEXT(D22),COUNTIF($D$16:D22,"&lt;&gt;0"),"")</f>
        <v>7</v>
      </c>
      <c r="D22" s="39" t="str">
        <f>VLOOKUP(A22,'Іменні заявки'!$A:$J,7,FALSE)</f>
        <v>Полонського р-ну</v>
      </c>
      <c r="E22" s="40" t="str">
        <f>VLOOKUP($A22,'Іменні заявки'!$A:$AK,31,FALSE)</f>
        <v>—</v>
      </c>
      <c r="F22" s="41">
        <f>VLOOKUP($A22,'Іменні заявки'!$A:$AK,32,FALSE)</f>
        <v>4</v>
      </c>
      <c r="G22" s="41" t="str">
        <f>VLOOKUP($A22,'Іменні заявки'!$A:$AK,33,FALSE)</f>
        <v>—</v>
      </c>
      <c r="H22" s="41">
        <f>VLOOKUP($A22,'Іменні заявки'!$A:$AK,34,FALSE)</f>
        <v>4</v>
      </c>
      <c r="I22" s="42" t="str">
        <f>VLOOKUP($A22,'Іменні заявки'!$A:$AK,35,FALSE)</f>
        <v>—</v>
      </c>
      <c r="J22" s="43">
        <f>VLOOKUP($A22,'Іменні заявки'!$A:$AK,36,FALSE)</f>
        <v>6</v>
      </c>
      <c r="K22" s="44">
        <f>VLOOKUP($A22,'Іменні заявки'!$A:$AK,37,FALSE)</f>
        <v>2</v>
      </c>
      <c r="L22" s="45"/>
    </row>
    <row r="23" spans="1:12" ht="18.75" customHeight="1">
      <c r="A23" s="137">
        <v>170</v>
      </c>
      <c r="B23" s="138" t="str">
        <f>VLOOKUP(A23,'Іменні заявки'!$A:$J,8,FALSE)</f>
        <v>Хмельницький р-н</v>
      </c>
      <c r="C23" s="38">
        <f>IF(ISTEXT(D23),COUNTIF($D$16:D23,"&lt;&gt;0"),"")</f>
        <v>8</v>
      </c>
      <c r="D23" s="39" t="str">
        <f>VLOOKUP(A23,'Іменні заявки'!$A:$J,7,FALSE)</f>
        <v>Хмельницького р-ну</v>
      </c>
      <c r="E23" s="40" t="str">
        <f>VLOOKUP($A23,'Іменні заявки'!$A:$AK,31,FALSE)</f>
        <v>—</v>
      </c>
      <c r="F23" s="41">
        <f>VLOOKUP($A23,'Іменні заявки'!$A:$AK,32,FALSE)</f>
        <v>3</v>
      </c>
      <c r="G23" s="41">
        <f>VLOOKUP($A23,'Іменні заявки'!$A:$AK,33,FALSE)</f>
        <v>1</v>
      </c>
      <c r="H23" s="41">
        <f>VLOOKUP($A23,'Іменні заявки'!$A:$AK,34,FALSE)</f>
        <v>2</v>
      </c>
      <c r="I23" s="42" t="str">
        <f>VLOOKUP($A23,'Іменні заявки'!$A:$AK,35,FALSE)</f>
        <v>—</v>
      </c>
      <c r="J23" s="43">
        <f>VLOOKUP($A23,'Іменні заявки'!$A:$AK,36,FALSE)</f>
        <v>4</v>
      </c>
      <c r="K23" s="44">
        <f>VLOOKUP($A23,'Іменні заявки'!$A:$AK,37,FALSE)</f>
        <v>4</v>
      </c>
      <c r="L23" s="45"/>
    </row>
    <row r="24" spans="1:12" ht="18.75" customHeight="1">
      <c r="A24" s="137">
        <v>180</v>
      </c>
      <c r="B24" s="138" t="str">
        <f>VLOOKUP(A24,'Іменні заявки'!$A:$J,8,FALSE)</f>
        <v>Чемеровецький р-н</v>
      </c>
      <c r="C24" s="38">
        <f>IF(ISTEXT(D24),COUNTIF($D$16:D24,"&lt;&gt;0"),"")</f>
        <v>9</v>
      </c>
      <c r="D24" s="39" t="str">
        <f>VLOOKUP(A24,'Іменні заявки'!$A:$J,7,FALSE)</f>
        <v>Чемеровецького р-ну</v>
      </c>
      <c r="E24" s="40" t="str">
        <f>VLOOKUP($A24,'Іменні заявки'!$A:$AK,31,FALSE)</f>
        <v>—</v>
      </c>
      <c r="F24" s="41">
        <f>VLOOKUP($A24,'Іменні заявки'!$A:$AK,32,FALSE)</f>
        <v>5</v>
      </c>
      <c r="G24" s="41" t="str">
        <f>VLOOKUP($A24,'Іменні заявки'!$A:$AK,33,FALSE)</f>
        <v>—</v>
      </c>
      <c r="H24" s="41" t="str">
        <f>VLOOKUP($A24,'Іменні заявки'!$A:$AK,34,FALSE)</f>
        <v>—</v>
      </c>
      <c r="I24" s="42" t="str">
        <f>VLOOKUP($A24,'Іменні заявки'!$A:$AK,35,FALSE)</f>
        <v>—</v>
      </c>
      <c r="J24" s="43">
        <f>VLOOKUP($A24,'Іменні заявки'!$A:$AK,36,FALSE)</f>
        <v>5</v>
      </c>
      <c r="K24" s="44">
        <f>VLOOKUP($A24,'Іменні заявки'!$A:$AK,37,FALSE)</f>
        <v>3</v>
      </c>
      <c r="L24" s="45"/>
    </row>
    <row r="25" spans="1:12" ht="18.75" customHeight="1">
      <c r="A25" s="137">
        <v>190</v>
      </c>
      <c r="B25" s="138" t="str">
        <f>VLOOKUP(A25,'Іменні заявки'!$A:$J,8,FALSE)</f>
        <v>Шепетівський р-н</v>
      </c>
      <c r="C25" s="38">
        <f>IF(ISTEXT(D25),COUNTIF($D$16:D25,"&lt;&gt;0"),"")</f>
        <v>10</v>
      </c>
      <c r="D25" s="39" t="str">
        <f>VLOOKUP(A25,'Іменні заявки'!$A:$J,7,FALSE)</f>
        <v>Шепетівського р-ну</v>
      </c>
      <c r="E25" s="40">
        <f>VLOOKUP($A25,'Іменні заявки'!$A:$AK,31,FALSE)</f>
        <v>1</v>
      </c>
      <c r="F25" s="41">
        <f>VLOOKUP($A25,'Іменні заявки'!$A:$AK,32,FALSE)</f>
        <v>1</v>
      </c>
      <c r="G25" s="41" t="str">
        <f>VLOOKUP($A25,'Іменні заявки'!$A:$AK,33,FALSE)</f>
        <v>—</v>
      </c>
      <c r="H25" s="41">
        <f>VLOOKUP($A25,'Іменні заявки'!$A:$AK,34,FALSE)</f>
        <v>6</v>
      </c>
      <c r="I25" s="42" t="str">
        <f>VLOOKUP($A25,'Іменні заявки'!$A:$AK,35,FALSE)</f>
        <v>—</v>
      </c>
      <c r="J25" s="43">
        <f>VLOOKUP($A25,'Іменні заявки'!$A:$AK,36,FALSE)</f>
        <v>6</v>
      </c>
      <c r="K25" s="44">
        <f>VLOOKUP($A25,'Іменні заявки'!$A:$AK,37,FALSE)</f>
        <v>2</v>
      </c>
      <c r="L25" s="45"/>
    </row>
    <row r="26" spans="1:12" ht="18.75" customHeight="1">
      <c r="A26" s="137">
        <v>210</v>
      </c>
      <c r="B26" s="138" t="str">
        <f>VLOOKUP(A26,'Іменні заявки'!$A:$J,8,FALSE)</f>
        <v>м.Кам.-Подільський</v>
      </c>
      <c r="C26" s="38">
        <f>IF(ISTEXT(D26),COUNTIF($D$16:D26,"&lt;&gt;0"),"")</f>
        <v>11</v>
      </c>
      <c r="D26" s="39" t="str">
        <f>VLOOKUP(A26,'Іменні заявки'!$A:$J,7,FALSE)</f>
        <v>м.Кам’янця-Подільського</v>
      </c>
      <c r="E26" s="40" t="str">
        <f>VLOOKUP($A26,'Іменні заявки'!$A:$AK,31,FALSE)</f>
        <v>—</v>
      </c>
      <c r="F26" s="41" t="str">
        <f>VLOOKUP($A26,'Іменні заявки'!$A:$AK,32,FALSE)</f>
        <v>—</v>
      </c>
      <c r="G26" s="41" t="str">
        <f>VLOOKUP($A26,'Іменні заявки'!$A:$AK,33,FALSE)</f>
        <v>—</v>
      </c>
      <c r="H26" s="41">
        <f>VLOOKUP($A26,'Іменні заявки'!$A:$AK,34,FALSE)</f>
        <v>4</v>
      </c>
      <c r="I26" s="42">
        <f>VLOOKUP($A26,'Іменні заявки'!$A:$AK,35,FALSE)</f>
        <v>1</v>
      </c>
      <c r="J26" s="43">
        <f>VLOOKUP($A26,'Іменні заявки'!$A:$AK,36,FALSE)</f>
        <v>4</v>
      </c>
      <c r="K26" s="44">
        <f>VLOOKUP($A26,'Іменні заявки'!$A:$AK,37,FALSE)</f>
        <v>2</v>
      </c>
      <c r="L26" s="45"/>
    </row>
    <row r="27" spans="1:12" ht="18.75" customHeight="1">
      <c r="A27" s="137">
        <v>220</v>
      </c>
      <c r="B27" s="138" t="str">
        <f>VLOOKUP(A27,'Іменні заявки'!$A:$J,8,FALSE)</f>
        <v>м.Нетішин</v>
      </c>
      <c r="C27" s="38">
        <f>IF(ISTEXT(D27),COUNTIF($D$16:D27,"&lt;&gt;0"),"")</f>
        <v>12</v>
      </c>
      <c r="D27" s="39" t="str">
        <f>VLOOKUP(A27,'Іменні заявки'!$A:$J,7,FALSE)</f>
        <v>м. Нетішина</v>
      </c>
      <c r="E27" s="40" t="str">
        <f>VLOOKUP($A27,'Іменні заявки'!$A:$AK,31,FALSE)</f>
        <v>—</v>
      </c>
      <c r="F27" s="41" t="str">
        <f>VLOOKUP($A27,'Іменні заявки'!$A:$AK,32,FALSE)</f>
        <v>—</v>
      </c>
      <c r="G27" s="41" t="str">
        <f>VLOOKUP($A27,'Іменні заявки'!$A:$AK,33,FALSE)</f>
        <v>—</v>
      </c>
      <c r="H27" s="41" t="str">
        <f>VLOOKUP($A27,'Іменні заявки'!$A:$AK,34,FALSE)</f>
        <v>—</v>
      </c>
      <c r="I27" s="42" t="str">
        <f>VLOOKUP($A27,'Іменні заявки'!$A:$AK,35,FALSE)</f>
        <v>—</v>
      </c>
      <c r="J27" s="43">
        <f>VLOOKUP($A27,'Іменні заявки'!$A:$AK,36,FALSE)</f>
        <v>4</v>
      </c>
      <c r="K27" s="44">
        <f>VLOOKUP($A27,'Іменні заявки'!$A:$AK,37,FALSE)</f>
        <v>3</v>
      </c>
      <c r="L27" s="45"/>
    </row>
    <row r="28" spans="1:12" ht="18.75" customHeight="1">
      <c r="A28" s="137">
        <v>230</v>
      </c>
      <c r="B28" s="138" t="str">
        <f>VLOOKUP(A28,'Іменні заявки'!$A:$J,8,FALSE)</f>
        <v>м.Славута</v>
      </c>
      <c r="C28" s="38">
        <f>IF(ISTEXT(D28),COUNTIF($D$16:D28,"&lt;&gt;0"),"")</f>
        <v>13</v>
      </c>
      <c r="D28" s="39" t="str">
        <f>VLOOKUP(A28,'Іменні заявки'!$A:$J,7,FALSE)</f>
        <v>м.Славути</v>
      </c>
      <c r="E28" s="40">
        <f>VLOOKUP($A28,'Іменні заявки'!$A:$AK,31,FALSE)</f>
        <v>1</v>
      </c>
      <c r="F28" s="41">
        <f>VLOOKUP($A28,'Іменні заявки'!$A:$AK,32,FALSE)</f>
        <v>1</v>
      </c>
      <c r="G28" s="41">
        <f>VLOOKUP($A28,'Іменні заявки'!$A:$AK,33,FALSE)</f>
        <v>6</v>
      </c>
      <c r="H28" s="41" t="str">
        <f>VLOOKUP($A28,'Іменні заявки'!$A:$AK,34,FALSE)</f>
        <v>—</v>
      </c>
      <c r="I28" s="42" t="str">
        <f>VLOOKUP($A28,'Іменні заявки'!$A:$AK,35,FALSE)</f>
        <v>—</v>
      </c>
      <c r="J28" s="43">
        <f>VLOOKUP($A28,'Іменні заявки'!$A:$AK,36,FALSE)</f>
        <v>6</v>
      </c>
      <c r="K28" s="44">
        <f>VLOOKUP($A28,'Іменні заявки'!$A:$AK,37,FALSE)</f>
        <v>2</v>
      </c>
      <c r="L28" s="45"/>
    </row>
    <row r="29" spans="1:12" ht="18.75" customHeight="1">
      <c r="A29" s="137">
        <v>250</v>
      </c>
      <c r="B29" s="138" t="str">
        <f>VLOOKUP(A29,'Іменні заявки'!$A:$J,8,FALSE)</f>
        <v>м.Хмельницький</v>
      </c>
      <c r="C29" s="38">
        <f>IF(ISTEXT(D29),COUNTIF($D$16:D29,"&lt;&gt;0"),"")</f>
        <v>14</v>
      </c>
      <c r="D29" s="39" t="str">
        <f>VLOOKUP(A29,'Іменні заявки'!$A:$J,7,FALSE)</f>
        <v>м.Хмельницького</v>
      </c>
      <c r="E29" s="40" t="str">
        <f>VLOOKUP($A29,'Іменні заявки'!$A:$AK,31,FALSE)</f>
        <v>—</v>
      </c>
      <c r="F29" s="41">
        <f>VLOOKUP($A29,'Іменні заявки'!$A:$AK,32,FALSE)</f>
        <v>1</v>
      </c>
      <c r="G29" s="41" t="str">
        <f>VLOOKUP($A29,'Іменні заявки'!$A:$AK,33,FALSE)</f>
        <v>—</v>
      </c>
      <c r="H29" s="41">
        <f>VLOOKUP($A29,'Іменні заявки'!$A:$AK,34,FALSE)</f>
        <v>4</v>
      </c>
      <c r="I29" s="42" t="str">
        <f>VLOOKUP($A29,'Іменні заявки'!$A:$AK,35,FALSE)</f>
        <v>—</v>
      </c>
      <c r="J29" s="43">
        <f>VLOOKUP($A29,'Іменні заявки'!$A:$AK,36,FALSE)</f>
        <v>6</v>
      </c>
      <c r="K29" s="44">
        <f>VLOOKUP($A29,'Іменні заявки'!$A:$AK,37,FALSE)</f>
        <v>2</v>
      </c>
      <c r="L29" s="45"/>
    </row>
    <row r="30" spans="1:12" ht="18.75" customHeight="1">
      <c r="A30" s="137">
        <v>260</v>
      </c>
      <c r="B30" s="138" t="str">
        <f>VLOOKUP(A30,'Іменні заявки'!$A:$J,8,FALSE)</f>
        <v>м.Шепетівка</v>
      </c>
      <c r="C30" s="38">
        <f>IF(ISTEXT(D30),COUNTIF($D$16:D30,"&lt;&gt;0"),"")</f>
        <v>15</v>
      </c>
      <c r="D30" s="39" t="str">
        <f>VLOOKUP(A30,'Іменні заявки'!$A:$J,7,FALSE)</f>
        <v>м.Шепетівки</v>
      </c>
      <c r="E30" s="40">
        <f>VLOOKUP($A30,'Іменні заявки'!$A:$AK,31,FALSE)</f>
        <v>4</v>
      </c>
      <c r="F30" s="41">
        <f>VLOOKUP($A30,'Іменні заявки'!$A:$AK,32,FALSE)</f>
        <v>1</v>
      </c>
      <c r="G30" s="41">
        <f>VLOOKUP($A30,'Іменні заявки'!$A:$AK,33,FALSE)</f>
        <v>3</v>
      </c>
      <c r="H30" s="41" t="str">
        <f>VLOOKUP($A30,'Іменні заявки'!$A:$AK,34,FALSE)</f>
        <v>—</v>
      </c>
      <c r="I30" s="42" t="str">
        <f>VLOOKUP($A30,'Іменні заявки'!$A:$AK,35,FALSE)</f>
        <v>—</v>
      </c>
      <c r="J30" s="43">
        <f>VLOOKUP($A30,'Іменні заявки'!$A:$AK,36,FALSE)</f>
        <v>6</v>
      </c>
      <c r="K30" s="44">
        <f>VLOOKUP($A30,'Іменні заявки'!$A:$AK,37,FALSE)</f>
        <v>2</v>
      </c>
      <c r="L30" s="45"/>
    </row>
    <row r="31" spans="1:12" ht="18.75" customHeight="1">
      <c r="A31" s="137">
        <v>140</v>
      </c>
      <c r="B31" s="138" t="str">
        <f>VLOOKUP(A31,'Іменні заявки'!$A:$J,8,FALSE)</f>
        <v>Старокостянтин. р-н</v>
      </c>
      <c r="C31" s="38">
        <f>IF(ISTEXT(D31),COUNTIF($D$16:D31,"&lt;&gt;0"),"")</f>
        <v>16</v>
      </c>
      <c r="D31" s="39" t="str">
        <f>VLOOKUP(A31,'Іменні заявки'!$A:$J,7,FALSE)</f>
        <v>Старокостянтин. р-ну</v>
      </c>
      <c r="E31" s="40" t="str">
        <f>VLOOKUP($A31,'Іменні заявки'!$A:$AK,31,FALSE)</f>
        <v>—</v>
      </c>
      <c r="F31" s="41" t="str">
        <f>VLOOKUP($A31,'Іменні заявки'!$A:$AK,32,FALSE)</f>
        <v>—</v>
      </c>
      <c r="G31" s="41" t="str">
        <f>VLOOKUP($A31,'Іменні заявки'!$A:$AK,33,FALSE)</f>
        <v>—</v>
      </c>
      <c r="H31" s="41" t="str">
        <f>VLOOKUP($A31,'Іменні заявки'!$A:$AK,34,FALSE)</f>
        <v>—</v>
      </c>
      <c r="I31" s="42" t="str">
        <f>VLOOKUP($A31,'Іменні заявки'!$A:$AK,35,FALSE)</f>
        <v>—</v>
      </c>
      <c r="J31" s="43">
        <f>VLOOKUP($A31,'Іменні заявки'!$A:$AK,36,FALSE)</f>
        <v>5</v>
      </c>
      <c r="K31" s="44">
        <f>VLOOKUP($A31,'Іменні заявки'!$A:$AK,37,FALSE)</f>
        <v>1</v>
      </c>
      <c r="L31" s="45"/>
    </row>
    <row r="32" spans="1:12" ht="18.75" customHeight="1" thickBot="1">
      <c r="A32" s="137">
        <v>240</v>
      </c>
      <c r="B32" s="138" t="str">
        <f>VLOOKUP(A32,'Іменні заявки'!$A:$J,8,FALSE)</f>
        <v>м.Старокостянтинів</v>
      </c>
      <c r="C32" s="38">
        <f>IF(ISTEXT(D32),COUNTIF($D$16:D32,"&lt;&gt;0"),"")</f>
        <v>17</v>
      </c>
      <c r="D32" s="39" t="str">
        <f>VLOOKUP(A32,'Іменні заявки'!$A:$J,7,FALSE)</f>
        <v>м.Старокостянтинів</v>
      </c>
      <c r="E32" s="40">
        <f>VLOOKUP($A32,'Іменні заявки'!$A:$AK,31,FALSE)</f>
        <v>1</v>
      </c>
      <c r="F32" s="41">
        <f>VLOOKUP($A32,'Іменні заявки'!$A:$AK,32,FALSE)</f>
        <v>2</v>
      </c>
      <c r="G32" s="41" t="str">
        <f>VLOOKUP($A32,'Іменні заявки'!$A:$AK,33,FALSE)</f>
        <v>—</v>
      </c>
      <c r="H32" s="41" t="str">
        <f>VLOOKUP($A32,'Іменні заявки'!$A:$AK,34,FALSE)</f>
        <v>—</v>
      </c>
      <c r="I32" s="42" t="str">
        <f>VLOOKUP($A32,'Іменні заявки'!$A:$AK,35,FALSE)</f>
        <v>—</v>
      </c>
      <c r="J32" s="43">
        <f>VLOOKUP($A32,'Іменні заявки'!$A:$AK,36,FALSE)</f>
        <v>6</v>
      </c>
      <c r="K32" s="44">
        <f>VLOOKUP($A32,'Іменні заявки'!$A:$AK,37,FALSE)</f>
        <v>2</v>
      </c>
      <c r="L32" s="45"/>
    </row>
    <row r="33" spans="1:12" ht="18.75" customHeight="1" hidden="1">
      <c r="A33" s="137">
        <v>70</v>
      </c>
      <c r="B33" s="138" t="str">
        <f>VLOOKUP(A33,'Іменні заявки'!$A:$J,8,FALSE)</f>
        <v>Ізяславський р-н</v>
      </c>
      <c r="C33" s="38">
        <f>IF(ISTEXT(D33),COUNTIF($D$16:D33,"&lt;&gt;0"),"")</f>
      </c>
      <c r="D33" s="39">
        <f>VLOOKUP(A33,'Іменні заявки'!$A:$J,7,FALSE)</f>
        <v>0</v>
      </c>
      <c r="E33" s="40" t="str">
        <f>VLOOKUP($A33,'Іменні заявки'!$A:$AK,31,FALSE)</f>
        <v>—</v>
      </c>
      <c r="F33" s="41" t="str">
        <f>VLOOKUP($A33,'Іменні заявки'!$A:$AK,32,FALSE)</f>
        <v>—</v>
      </c>
      <c r="G33" s="41" t="str">
        <f>VLOOKUP($A33,'Іменні заявки'!$A:$AK,33,FALSE)</f>
        <v>—</v>
      </c>
      <c r="H33" s="41" t="str">
        <f>VLOOKUP($A33,'Іменні заявки'!$A:$AK,34,FALSE)</f>
        <v>—</v>
      </c>
      <c r="I33" s="42" t="str">
        <f>VLOOKUP($A33,'Іменні заявки'!$A:$AK,35,FALSE)</f>
        <v>—</v>
      </c>
      <c r="J33" s="43" t="str">
        <f>VLOOKUP($A33,'Іменні заявки'!$A:$AK,36,FALSE)</f>
        <v>—</v>
      </c>
      <c r="K33" s="44" t="str">
        <f>VLOOKUP($A33,'Іменні заявки'!$A:$AK,37,FALSE)</f>
        <v>—</v>
      </c>
      <c r="L33" s="45"/>
    </row>
    <row r="34" spans="1:12" ht="18.75" customHeight="1" hidden="1">
      <c r="A34" s="137">
        <v>80</v>
      </c>
      <c r="B34" s="138" t="str">
        <f>VLOOKUP(A34,'Іменні заявки'!$A:$J,8,FALSE)</f>
        <v>Кам.-Подільський р-н</v>
      </c>
      <c r="C34" s="38">
        <f>IF(ISTEXT(D34),COUNTIF($D$16:D34,"&lt;&gt;0"),"")</f>
      </c>
      <c r="D34" s="39">
        <f>VLOOKUP(A34,'Іменні заявки'!$A:$J,7,FALSE)</f>
        <v>0</v>
      </c>
      <c r="E34" s="40" t="str">
        <f>VLOOKUP($A34,'Іменні заявки'!$A:$AK,31,FALSE)</f>
        <v>—</v>
      </c>
      <c r="F34" s="41" t="str">
        <f>VLOOKUP($A34,'Іменні заявки'!$A:$AK,32,FALSE)</f>
        <v>—</v>
      </c>
      <c r="G34" s="41" t="str">
        <f>VLOOKUP($A34,'Іменні заявки'!$A:$AK,33,FALSE)</f>
        <v>—</v>
      </c>
      <c r="H34" s="41" t="str">
        <f>VLOOKUP($A34,'Іменні заявки'!$A:$AK,34,FALSE)</f>
        <v>—</v>
      </c>
      <c r="I34" s="42" t="str">
        <f>VLOOKUP($A34,'Іменні заявки'!$A:$AK,35,FALSE)</f>
        <v>—</v>
      </c>
      <c r="J34" s="43" t="str">
        <f>VLOOKUP($A34,'Іменні заявки'!$A:$AK,36,FALSE)</f>
        <v>—</v>
      </c>
      <c r="K34" s="44" t="str">
        <f>VLOOKUP($A34,'Іменні заявки'!$A:$AK,37,FALSE)</f>
        <v>—</v>
      </c>
      <c r="L34" s="45"/>
    </row>
    <row r="35" spans="1:12" ht="18.75" customHeight="1" hidden="1">
      <c r="A35" s="137">
        <v>100</v>
      </c>
      <c r="B35" s="138" t="str">
        <f>VLOOKUP(A35,'Іменні заявки'!$A:$J,8,FALSE)</f>
        <v>Летичівський р-н</v>
      </c>
      <c r="C35" s="38">
        <f>IF(ISTEXT(D35),COUNTIF($D$16:D35,"&lt;&gt;0"),"")</f>
      </c>
      <c r="D35" s="39">
        <f>VLOOKUP(A35,'Іменні заявки'!$A:$J,7,FALSE)</f>
        <v>0</v>
      </c>
      <c r="E35" s="40" t="str">
        <f>VLOOKUP($A35,'Іменні заявки'!$A:$AK,31,FALSE)</f>
        <v>—</v>
      </c>
      <c r="F35" s="41" t="str">
        <f>VLOOKUP($A35,'Іменні заявки'!$A:$AK,32,FALSE)</f>
        <v>—</v>
      </c>
      <c r="G35" s="41" t="str">
        <f>VLOOKUP($A35,'Іменні заявки'!$A:$AK,33,FALSE)</f>
        <v>—</v>
      </c>
      <c r="H35" s="41" t="str">
        <f>VLOOKUP($A35,'Іменні заявки'!$A:$AK,34,FALSE)</f>
        <v>—</v>
      </c>
      <c r="I35" s="42" t="str">
        <f>VLOOKUP($A35,'Іменні заявки'!$A:$AK,35,FALSE)</f>
        <v>—</v>
      </c>
      <c r="J35" s="43" t="str">
        <f>VLOOKUP($A35,'Іменні заявки'!$A:$AK,36,FALSE)</f>
        <v>—</v>
      </c>
      <c r="K35" s="44" t="str">
        <f>VLOOKUP($A35,'Іменні заявки'!$A:$AK,37,FALSE)</f>
        <v>—</v>
      </c>
      <c r="L35" s="45"/>
    </row>
    <row r="36" spans="1:12" ht="18.75" customHeight="1" hidden="1">
      <c r="A36" s="137">
        <v>130</v>
      </c>
      <c r="B36" s="138" t="str">
        <f>VLOOKUP(A36,'Іменні заявки'!$A:$J,8,FALSE)</f>
        <v>Славутський р-н</v>
      </c>
      <c r="C36" s="269">
        <f>IF(ISTEXT(D36),COUNTIF($D$16:D36,"&lt;&gt;0"),"")</f>
      </c>
      <c r="D36" s="39">
        <f>VLOOKUP(A36,'Іменні заявки'!$A:$J,7,FALSE)</f>
        <v>0</v>
      </c>
      <c r="E36" s="40" t="str">
        <f>VLOOKUP($A36,'Іменні заявки'!$A:$AK,31,FALSE)</f>
        <v>—</v>
      </c>
      <c r="F36" s="41" t="str">
        <f>VLOOKUP($A36,'Іменні заявки'!$A:$AK,32,FALSE)</f>
        <v>—</v>
      </c>
      <c r="G36" s="41" t="str">
        <f>VLOOKUP($A36,'Іменні заявки'!$A:$AK,33,FALSE)</f>
        <v>—</v>
      </c>
      <c r="H36" s="41" t="str">
        <f>VLOOKUP($A36,'Іменні заявки'!$A:$AK,34,FALSE)</f>
        <v>—</v>
      </c>
      <c r="I36" s="42" t="str">
        <f>VLOOKUP($A36,'Іменні заявки'!$A:$AK,35,FALSE)</f>
        <v>—</v>
      </c>
      <c r="J36" s="43" t="str">
        <f>VLOOKUP($A36,'Іменні заявки'!$A:$AK,36,FALSE)</f>
        <v>—</v>
      </c>
      <c r="K36" s="44" t="str">
        <f>VLOOKUP($A36,'Іменні заявки'!$A:$AK,37,FALSE)</f>
        <v>—</v>
      </c>
      <c r="L36" s="45"/>
    </row>
    <row r="37" spans="1:12" ht="18.75" customHeight="1" hidden="1">
      <c r="A37" s="137">
        <v>160</v>
      </c>
      <c r="B37" s="138" t="str">
        <f>VLOOKUP(A37,'Іменні заявки'!$A:$J,8,FALSE)</f>
        <v>Теофіпільський р-н</v>
      </c>
      <c r="C37" s="228">
        <f>IF(ISTEXT(D37),COUNTIF($D$16:D37,"&lt;&gt;0"),"")</f>
      </c>
      <c r="D37" s="229">
        <f>VLOOKUP(A37,'Іменні заявки'!$A:$J,7,FALSE)</f>
        <v>0</v>
      </c>
      <c r="E37" s="230" t="str">
        <f>VLOOKUP($A37,'Іменні заявки'!$A:$AK,31,FALSE)</f>
        <v>—</v>
      </c>
      <c r="F37" s="231" t="str">
        <f>VLOOKUP($A37,'Іменні заявки'!$A:$AK,32,FALSE)</f>
        <v>—</v>
      </c>
      <c r="G37" s="231" t="str">
        <f>VLOOKUP($A37,'Іменні заявки'!$A:$AK,33,FALSE)</f>
        <v>—</v>
      </c>
      <c r="H37" s="231" t="str">
        <f>VLOOKUP($A37,'Іменні заявки'!$A:$AK,34,FALSE)</f>
        <v>—</v>
      </c>
      <c r="I37" s="232" t="str">
        <f>VLOOKUP($A37,'Іменні заявки'!$A:$AK,35,FALSE)</f>
        <v>—</v>
      </c>
      <c r="J37" s="233" t="str">
        <f>VLOOKUP($A37,'Іменні заявки'!$A:$AK,36,FALSE)</f>
        <v>—</v>
      </c>
      <c r="K37" s="234" t="str">
        <f>VLOOKUP($A37,'Іменні заявки'!$A:$AK,37,FALSE)</f>
        <v>—</v>
      </c>
      <c r="L37" s="235"/>
    </row>
    <row r="38" spans="1:12" ht="18.75" customHeight="1" hidden="1">
      <c r="A38" s="137">
        <v>30</v>
      </c>
      <c r="B38" s="138" t="str">
        <f>VLOOKUP(A38,'Іменні заявки'!$A:$J,8,FALSE)</f>
        <v>Волочиський р-н</v>
      </c>
      <c r="C38" s="38">
        <f>IF(ISTEXT(D38),COUNTIF($D$16:D38,"&lt;&gt;0"),"")</f>
      </c>
      <c r="D38" s="39">
        <f>VLOOKUP(A38,'Іменні заявки'!$A:$J,7,FALSE)</f>
        <v>0</v>
      </c>
      <c r="E38" s="40" t="str">
        <f>VLOOKUP($A38,'Іменні заявки'!$A:$AK,31,FALSE)</f>
        <v>—</v>
      </c>
      <c r="F38" s="41" t="str">
        <f>VLOOKUP($A38,'Іменні заявки'!$A:$AK,32,FALSE)</f>
        <v>—</v>
      </c>
      <c r="G38" s="41" t="str">
        <f>VLOOKUP($A38,'Іменні заявки'!$A:$AK,33,FALSE)</f>
        <v>—</v>
      </c>
      <c r="H38" s="41" t="str">
        <f>VLOOKUP($A38,'Іменні заявки'!$A:$AK,34,FALSE)</f>
        <v>—</v>
      </c>
      <c r="I38" s="42" t="str">
        <f>VLOOKUP($A38,'Іменні заявки'!$A:$AK,35,FALSE)</f>
        <v>—</v>
      </c>
      <c r="J38" s="43" t="str">
        <f>VLOOKUP($A38,'Іменні заявки'!$A:$AK,36,FALSE)</f>
        <v>—</v>
      </c>
      <c r="K38" s="44" t="str">
        <f>VLOOKUP($A38,'Іменні заявки'!$A:$AK,37,FALSE)</f>
        <v>—</v>
      </c>
      <c r="L38" s="45"/>
    </row>
    <row r="39" spans="1:12" ht="18.75" customHeight="1" hidden="1">
      <c r="A39" s="137">
        <v>40</v>
      </c>
      <c r="B39" s="138" t="str">
        <f>VLOOKUP(A39,'Іменні заявки'!$A:$J,8,FALSE)</f>
        <v>Городоцький р-н</v>
      </c>
      <c r="C39" s="38">
        <f>IF(ISTEXT(D39),COUNTIF($D$16:D39,"&lt;&gt;0"),"")</f>
      </c>
      <c r="D39" s="39">
        <f>VLOOKUP(A39,'Іменні заявки'!$A:$J,7,FALSE)</f>
        <v>0</v>
      </c>
      <c r="E39" s="40" t="str">
        <f>VLOOKUP($A39,'Іменні заявки'!$A:$AK,31,FALSE)</f>
        <v>—</v>
      </c>
      <c r="F39" s="41" t="str">
        <f>VLOOKUP($A39,'Іменні заявки'!$A:$AK,32,FALSE)</f>
        <v>—</v>
      </c>
      <c r="G39" s="41" t="str">
        <f>VLOOKUP($A39,'Іменні заявки'!$A:$AK,33,FALSE)</f>
        <v>—</v>
      </c>
      <c r="H39" s="41" t="str">
        <f>VLOOKUP($A39,'Іменні заявки'!$A:$AK,34,FALSE)</f>
        <v>—</v>
      </c>
      <c r="I39" s="42" t="str">
        <f>VLOOKUP($A39,'Іменні заявки'!$A:$AK,35,FALSE)</f>
        <v>—</v>
      </c>
      <c r="J39" s="43" t="str">
        <f>VLOOKUP($A39,'Іменні заявки'!$A:$AK,36,FALSE)</f>
        <v>—</v>
      </c>
      <c r="K39" s="44" t="str">
        <f>VLOOKUP($A39,'Іменні заявки'!$A:$AK,37,FALSE)</f>
        <v>—</v>
      </c>
      <c r="L39" s="45"/>
    </row>
    <row r="40" spans="1:12" ht="18.75" customHeight="1" hidden="1">
      <c r="A40" s="137">
        <v>150</v>
      </c>
      <c r="B40" s="138" t="str">
        <f>VLOOKUP(A40,'Іменні заявки'!$A:$J,8,FALSE)</f>
        <v>Старосинявський р-н</v>
      </c>
      <c r="C40" s="38">
        <f>IF(ISTEXT(D40),COUNTIF($D$16:D40,"&lt;&gt;0"),"")</f>
      </c>
      <c r="D40" s="39">
        <f>VLOOKUP(A40,'Іменні заявки'!$A:$J,7,FALSE)</f>
        <v>0</v>
      </c>
      <c r="E40" s="40" t="str">
        <f>VLOOKUP($A40,'Іменні заявки'!$A:$AK,31,FALSE)</f>
        <v>—</v>
      </c>
      <c r="F40" s="41" t="str">
        <f>VLOOKUP($A40,'Іменні заявки'!$A:$AK,32,FALSE)</f>
        <v>—</v>
      </c>
      <c r="G40" s="41" t="str">
        <f>VLOOKUP($A40,'Іменні заявки'!$A:$AK,33,FALSE)</f>
        <v>—</v>
      </c>
      <c r="H40" s="41" t="str">
        <f>VLOOKUP($A40,'Іменні заявки'!$A:$AK,34,FALSE)</f>
        <v>—</v>
      </c>
      <c r="I40" s="42" t="str">
        <f>VLOOKUP($A40,'Іменні заявки'!$A:$AK,35,FALSE)</f>
        <v>—</v>
      </c>
      <c r="J40" s="43" t="str">
        <f>VLOOKUP($A40,'Іменні заявки'!$A:$AK,36,FALSE)</f>
        <v>—</v>
      </c>
      <c r="K40" s="44" t="str">
        <f>VLOOKUP($A40,'Іменні заявки'!$A:$AK,37,FALSE)</f>
        <v>—</v>
      </c>
      <c r="L40" s="45"/>
    </row>
    <row r="41" spans="1:12" ht="18.75" customHeight="1" hidden="1">
      <c r="A41" s="137">
        <v>200</v>
      </c>
      <c r="B41" s="138" t="str">
        <f>VLOOKUP(A41,'Іменні заявки'!$A:$J,8,FALSE)</f>
        <v>Ярмолинецький р-н</v>
      </c>
      <c r="C41" s="38">
        <f>IF(ISTEXT(D41),COUNTIF($D$16:D41,"&lt;&gt;0"),"")</f>
      </c>
      <c r="D41" s="39">
        <f>VLOOKUP(A41,'Іменні заявки'!$A:$J,7,FALSE)</f>
        <v>0</v>
      </c>
      <c r="E41" s="40" t="str">
        <f>VLOOKUP($A41,'Іменні заявки'!$A:$AK,31,FALSE)</f>
        <v>—</v>
      </c>
      <c r="F41" s="41" t="str">
        <f>VLOOKUP($A41,'Іменні заявки'!$A:$AK,32,FALSE)</f>
        <v>—</v>
      </c>
      <c r="G41" s="41" t="str">
        <f>VLOOKUP($A41,'Іменні заявки'!$A:$AK,33,FALSE)</f>
        <v>—</v>
      </c>
      <c r="H41" s="41" t="str">
        <f>VLOOKUP($A41,'Іменні заявки'!$A:$AK,34,FALSE)</f>
        <v>—</v>
      </c>
      <c r="I41" s="42" t="str">
        <f>VLOOKUP($A41,'Іменні заявки'!$A:$AK,35,FALSE)</f>
        <v>—</v>
      </c>
      <c r="J41" s="43" t="str">
        <f>VLOOKUP($A41,'Іменні заявки'!$A:$AK,36,FALSE)</f>
        <v>—</v>
      </c>
      <c r="K41" s="44" t="str">
        <f>VLOOKUP($A41,'Іменні заявки'!$A:$AK,37,FALSE)</f>
        <v>—</v>
      </c>
      <c r="L41" s="45"/>
    </row>
    <row r="42" spans="1:12" ht="18.75" customHeight="1" hidden="1" thickBot="1">
      <c r="A42" s="137">
        <v>270</v>
      </c>
      <c r="B42" s="138" t="str">
        <f>VLOOKUP(A42,'Іменні заявки'!$A:$J,8,FALSE)</f>
        <v>Хмельницька обл.</v>
      </c>
      <c r="C42" s="253">
        <f>IF(ISTEXT(D42),COUNTIF($D$16:D42,"&lt;&gt;0"),"")</f>
      </c>
      <c r="D42" s="254">
        <f>VLOOKUP(A42,'Іменні заявки'!$A:$J,7,FALSE)</f>
        <v>0</v>
      </c>
      <c r="E42" s="255" t="str">
        <f>VLOOKUP($A42,'Іменні заявки'!$A:$AK,31,FALSE)</f>
        <v>—</v>
      </c>
      <c r="F42" s="256" t="str">
        <f>VLOOKUP($A42,'Іменні заявки'!$A:$AK,32,FALSE)</f>
        <v>—</v>
      </c>
      <c r="G42" s="256" t="str">
        <f>VLOOKUP($A42,'Іменні заявки'!$A:$AK,33,FALSE)</f>
        <v>—</v>
      </c>
      <c r="H42" s="256" t="str">
        <f>VLOOKUP($A42,'Іменні заявки'!$A:$AK,34,FALSE)</f>
        <v>—</v>
      </c>
      <c r="I42" s="257" t="str">
        <f>VLOOKUP($A42,'Іменні заявки'!$A:$AK,35,FALSE)</f>
        <v>—</v>
      </c>
      <c r="J42" s="258" t="str">
        <f>VLOOKUP($A42,'Іменні заявки'!$A:$AK,36,FALSE)</f>
        <v>—</v>
      </c>
      <c r="K42" s="259" t="str">
        <f>VLOOKUP($A42,'Іменні заявки'!$A:$AK,37,FALSE)</f>
        <v>—</v>
      </c>
      <c r="L42" s="260"/>
    </row>
    <row r="43" spans="3:12" ht="18.75" customHeight="1" thickBot="1">
      <c r="C43" s="261"/>
      <c r="D43" s="262" t="s">
        <v>108</v>
      </c>
      <c r="E43" s="263">
        <f>SUM(E16:E42)</f>
        <v>8</v>
      </c>
      <c r="F43" s="264">
        <f aca="true" t="shared" si="0" ref="F43:K43">SUM(F16:F42)</f>
        <v>19</v>
      </c>
      <c r="G43" s="264">
        <f t="shared" si="0"/>
        <v>11</v>
      </c>
      <c r="H43" s="264">
        <f t="shared" si="0"/>
        <v>20</v>
      </c>
      <c r="I43" s="265">
        <f t="shared" si="0"/>
        <v>1</v>
      </c>
      <c r="J43" s="266">
        <f t="shared" si="0"/>
        <v>90</v>
      </c>
      <c r="K43" s="267">
        <f t="shared" si="0"/>
        <v>38</v>
      </c>
      <c r="L43" s="268"/>
    </row>
    <row r="44" spans="3:12" ht="18.75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8.75" customHeight="1">
      <c r="C45" s="18" t="s">
        <v>109</v>
      </c>
      <c r="D45" s="3"/>
      <c r="E45" s="20"/>
      <c r="F45" s="20"/>
      <c r="G45" s="3"/>
      <c r="H45" s="19" t="s">
        <v>263</v>
      </c>
      <c r="I45" s="20"/>
      <c r="J45" s="3"/>
      <c r="K45" s="3"/>
      <c r="L45" s="3"/>
    </row>
    <row r="46" spans="3:12" ht="12.75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8.75" customHeight="1">
      <c r="C47" s="18" t="s">
        <v>110</v>
      </c>
      <c r="D47" s="3"/>
      <c r="E47" s="20"/>
      <c r="F47" s="20"/>
      <c r="G47" s="3"/>
      <c r="H47" s="19" t="str">
        <f>'Іменні заявки'!C7</f>
        <v>Кіретова І.О.</v>
      </c>
      <c r="I47" s="20"/>
      <c r="J47" s="3"/>
      <c r="K47" s="3"/>
      <c r="L47" s="3"/>
    </row>
    <row r="48" spans="3:12" ht="12.75">
      <c r="C48" s="3"/>
      <c r="D48" s="3"/>
      <c r="E48" s="3"/>
      <c r="F48" s="3"/>
      <c r="G48" s="3"/>
      <c r="H48" s="3"/>
      <c r="I48" s="3"/>
      <c r="J48" s="3"/>
      <c r="K48" s="3"/>
      <c r="L48" s="3"/>
    </row>
  </sheetData>
  <sheetProtection/>
  <autoFilter ref="D13:D43"/>
  <mergeCells count="13">
    <mergeCell ref="C7:L7"/>
    <mergeCell ref="C8:L8"/>
    <mergeCell ref="C1:L1"/>
    <mergeCell ref="C2:L2"/>
    <mergeCell ref="C3:L3"/>
    <mergeCell ref="C5:L5"/>
    <mergeCell ref="C11:L11"/>
    <mergeCell ref="C13:C15"/>
    <mergeCell ref="D13:D15"/>
    <mergeCell ref="E13:K13"/>
    <mergeCell ref="L13:L15"/>
    <mergeCell ref="E14:I14"/>
    <mergeCell ref="J14:K14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O48"/>
  <sheetViews>
    <sheetView view="pageBreakPreview" zoomScale="80" zoomScaleSheetLayoutView="80" zoomScalePageLayoutView="58" workbookViewId="0" topLeftCell="A7">
      <selection activeCell="D37" sqref="D37"/>
    </sheetView>
  </sheetViews>
  <sheetFormatPr defaultColWidth="9.00390625" defaultRowHeight="12.75"/>
  <cols>
    <col min="1" max="1" width="5.625" style="14" customWidth="1"/>
    <col min="2" max="2" width="3.875" style="14" customWidth="1"/>
    <col min="3" max="3" width="28.375" style="14" customWidth="1"/>
    <col min="4" max="6" width="14.375" style="14" customWidth="1"/>
    <col min="7" max="7" width="11.75390625" style="14" customWidth="1"/>
    <col min="8" max="8" width="5.625" style="14" customWidth="1"/>
    <col min="9" max="15" width="8.875" style="3" customWidth="1"/>
    <col min="16" max="16384" width="9.125" style="14" customWidth="1"/>
  </cols>
  <sheetData>
    <row r="1" spans="2:15" s="23" customFormat="1" ht="15" customHeight="1">
      <c r="B1" s="472" t="str">
        <f>'Іменні заявки'!C1</f>
        <v>Департамент освіти і науки Хмельницької обласної державної адміністрації</v>
      </c>
      <c r="C1" s="473"/>
      <c r="D1" s="473"/>
      <c r="E1" s="473"/>
      <c r="F1" s="473"/>
      <c r="G1" s="473"/>
      <c r="H1" s="24"/>
      <c r="I1" s="3"/>
      <c r="J1" s="3"/>
      <c r="K1" s="3"/>
      <c r="L1" s="3"/>
      <c r="M1" s="3"/>
      <c r="N1" s="3"/>
      <c r="O1" s="3"/>
    </row>
    <row r="2" spans="2:15" s="23" customFormat="1" ht="27.75" customHeight="1">
      <c r="B2" s="472" t="str">
        <f>'Іменні заявки'!C2</f>
        <v>ХМЕЛЬНИЦЬКИЙ ОБЛАСНИЙ ЦЕНТР ТУРИЗМУ І КРАЄЗНАВСТВА УЧНІВСЬКОЇ МОЛОДІ</v>
      </c>
      <c r="C2" s="473"/>
      <c r="D2" s="473"/>
      <c r="E2" s="473"/>
      <c r="F2" s="473"/>
      <c r="G2" s="473"/>
      <c r="H2" s="24"/>
      <c r="I2" s="3"/>
      <c r="J2" s="3"/>
      <c r="K2" s="3"/>
      <c r="L2" s="3"/>
      <c r="M2" s="3"/>
      <c r="N2" s="3"/>
      <c r="O2" s="3"/>
    </row>
    <row r="3" spans="2:15" s="23" customFormat="1" ht="31.5" customHeight="1">
      <c r="B3" s="468" t="str">
        <f>'Іменні заявки'!C3</f>
        <v>Чемпіонат області серед працівників закладів освіти з пішохідного туризму "Листопад-2015"</v>
      </c>
      <c r="C3" s="468"/>
      <c r="D3" s="468"/>
      <c r="E3" s="468"/>
      <c r="F3" s="468"/>
      <c r="G3" s="468"/>
      <c r="H3" s="24"/>
      <c r="I3" s="3"/>
      <c r="J3" s="3"/>
      <c r="K3" s="3"/>
      <c r="L3" s="3"/>
      <c r="M3" s="3"/>
      <c r="N3" s="3"/>
      <c r="O3" s="3"/>
    </row>
    <row r="4" spans="2:15" s="23" customFormat="1" ht="6" customHeight="1">
      <c r="B4" s="467"/>
      <c r="C4" s="468"/>
      <c r="D4" s="468"/>
      <c r="E4" s="468"/>
      <c r="F4" s="468"/>
      <c r="G4" s="468"/>
      <c r="H4" s="24"/>
      <c r="I4" s="3"/>
      <c r="J4" s="3"/>
      <c r="K4" s="3"/>
      <c r="L4" s="3"/>
      <c r="M4" s="3"/>
      <c r="N4" s="3"/>
      <c r="O4" s="3"/>
    </row>
    <row r="5" spans="2:15" s="23" customFormat="1" ht="12.75">
      <c r="B5" s="2" t="s">
        <v>337</v>
      </c>
      <c r="C5" s="3"/>
      <c r="D5" s="3"/>
      <c r="E5" s="3"/>
      <c r="F5" s="3"/>
      <c r="G5" s="155" t="str">
        <f>'Іменні заявки'!C4</f>
        <v>ур.Новики Старокостянтинівського р-ну</v>
      </c>
      <c r="H5" s="24"/>
      <c r="I5" s="3"/>
      <c r="J5" s="3"/>
      <c r="K5" s="3"/>
      <c r="L5" s="3"/>
      <c r="M5" s="3"/>
      <c r="N5" s="3"/>
      <c r="O5" s="3"/>
    </row>
    <row r="6" spans="2:15" s="23" customFormat="1" ht="12.75" customHeight="1">
      <c r="B6" s="469" t="s">
        <v>111</v>
      </c>
      <c r="C6" s="469"/>
      <c r="D6" s="469"/>
      <c r="E6" s="469"/>
      <c r="F6" s="469"/>
      <c r="G6" s="469"/>
      <c r="H6" s="24"/>
      <c r="I6" s="3"/>
      <c r="J6" s="3"/>
      <c r="K6" s="3"/>
      <c r="L6" s="3"/>
      <c r="M6" s="3"/>
      <c r="N6" s="3"/>
      <c r="O6" s="3"/>
    </row>
    <row r="7" spans="2:8" ht="13.5" thickBot="1">
      <c r="B7" s="3"/>
      <c r="C7" s="3"/>
      <c r="D7" s="3"/>
      <c r="E7" s="3"/>
      <c r="F7" s="3"/>
      <c r="G7" s="3"/>
      <c r="H7" s="25"/>
    </row>
    <row r="8" spans="2:8" ht="16.5" customHeight="1">
      <c r="B8" s="470" t="s">
        <v>26</v>
      </c>
      <c r="C8" s="474" t="s">
        <v>27</v>
      </c>
      <c r="D8" s="470" t="s">
        <v>161</v>
      </c>
      <c r="E8" s="470" t="s">
        <v>260</v>
      </c>
      <c r="F8" s="470" t="s">
        <v>211</v>
      </c>
      <c r="G8" s="474" t="s">
        <v>76</v>
      </c>
      <c r="H8" s="25"/>
    </row>
    <row r="9" spans="2:8" ht="28.5" customHeight="1" thickBot="1">
      <c r="B9" s="471"/>
      <c r="C9" s="475"/>
      <c r="D9" s="471"/>
      <c r="E9" s="471"/>
      <c r="F9" s="471"/>
      <c r="G9" s="475"/>
      <c r="H9" s="25"/>
    </row>
    <row r="10" spans="1:8" ht="24" customHeight="1">
      <c r="A10" s="12">
        <v>10</v>
      </c>
      <c r="B10" s="147">
        <f>IF(ISTEXT(C10),COUNTIF(C$10:C10,"&lt;&gt;0"),"")</f>
        <v>1</v>
      </c>
      <c r="C10" s="13" t="str">
        <f>VLOOKUP($A10,'Іменні заявки'!$A:$J,7,FALSE)</f>
        <v>Білогірського р-ну</v>
      </c>
      <c r="D10" s="26">
        <v>12</v>
      </c>
      <c r="E10" s="168">
        <v>16</v>
      </c>
      <c r="F10" s="168"/>
      <c r="G10" s="26"/>
      <c r="H10" s="21">
        <f aca="true" t="shared" si="0" ref="H10:H36">A10</f>
        <v>10</v>
      </c>
    </row>
    <row r="11" spans="1:8" ht="24" customHeight="1">
      <c r="A11" s="12">
        <v>20</v>
      </c>
      <c r="B11" s="27">
        <f>IF(ISTEXT(C11),COUNTIF(C$10:C11,"&lt;&gt;0"),"")</f>
        <v>2</v>
      </c>
      <c r="C11" s="13" t="str">
        <f>VLOOKUP($A11,'Іменні заявки'!$A:$J,7,FALSE)</f>
        <v>Віньковецького р-ну</v>
      </c>
      <c r="D11" s="28">
        <v>13</v>
      </c>
      <c r="E11" s="148">
        <v>13</v>
      </c>
      <c r="F11" s="148"/>
      <c r="G11" s="28"/>
      <c r="H11" s="21">
        <f t="shared" si="0"/>
        <v>20</v>
      </c>
    </row>
    <row r="12" spans="1:8" ht="24" customHeight="1">
      <c r="A12" s="12">
        <v>50</v>
      </c>
      <c r="B12" s="27">
        <f>IF(ISTEXT(C12),COUNTIF(C$10:C12,"&lt;&gt;0"),"")</f>
        <v>3</v>
      </c>
      <c r="C12" s="13" t="str">
        <f>VLOOKUP($A12,'Іменні заявки'!$A:$J,7,FALSE)</f>
        <v>Деражнянського р-ну</v>
      </c>
      <c r="D12" s="26">
        <v>8</v>
      </c>
      <c r="E12" s="148">
        <v>15</v>
      </c>
      <c r="F12" s="148"/>
      <c r="G12" s="28"/>
      <c r="H12" s="21">
        <f t="shared" si="0"/>
        <v>50</v>
      </c>
    </row>
    <row r="13" spans="1:8" ht="24" customHeight="1">
      <c r="A13" s="12">
        <v>60</v>
      </c>
      <c r="B13" s="27">
        <f>IF(ISTEXT(C13),COUNTIF(C$10:C13,"&lt;&gt;0"),"")</f>
        <v>4</v>
      </c>
      <c r="C13" s="13" t="str">
        <f>VLOOKUP($A13,'Іменні заявки'!$A:$J,7,FALSE)</f>
        <v>Дунаєвецького р-ну</v>
      </c>
      <c r="D13" s="28">
        <v>4</v>
      </c>
      <c r="E13" s="148">
        <v>17</v>
      </c>
      <c r="F13" s="148"/>
      <c r="G13" s="28"/>
      <c r="H13" s="21">
        <f t="shared" si="0"/>
        <v>60</v>
      </c>
    </row>
    <row r="14" spans="1:8" ht="24" customHeight="1">
      <c r="A14" s="12">
        <v>90</v>
      </c>
      <c r="B14" s="27">
        <f>IF(ISTEXT(C14),COUNTIF(C$10:C14,"&lt;&gt;0"),"")</f>
        <v>5</v>
      </c>
      <c r="C14" s="13" t="str">
        <f>VLOOKUP($A14,'Іменні заявки'!$A:$J,7,FALSE)</f>
        <v>Красилівського р-ну</v>
      </c>
      <c r="D14" s="26">
        <v>16</v>
      </c>
      <c r="E14" s="148">
        <v>14</v>
      </c>
      <c r="F14" s="148"/>
      <c r="G14" s="28"/>
      <c r="H14" s="21">
        <f t="shared" si="0"/>
        <v>90</v>
      </c>
    </row>
    <row r="15" spans="1:8" ht="24" customHeight="1">
      <c r="A15" s="12">
        <v>110</v>
      </c>
      <c r="B15" s="27">
        <f>IF(ISTEXT(C15),COUNTIF(C$10:C15,"&lt;&gt;0"),"")</f>
        <v>6</v>
      </c>
      <c r="C15" s="13" t="str">
        <f>VLOOKUP($A15,'Іменні заявки'!$A:$J,7,FALSE)</f>
        <v>Новоушицького р-ну</v>
      </c>
      <c r="D15" s="28">
        <v>2</v>
      </c>
      <c r="E15" s="148">
        <v>11</v>
      </c>
      <c r="F15" s="148"/>
      <c r="G15" s="28"/>
      <c r="H15" s="21">
        <f t="shared" si="0"/>
        <v>110</v>
      </c>
    </row>
    <row r="16" spans="1:8" ht="24" customHeight="1">
      <c r="A16" s="12">
        <v>120</v>
      </c>
      <c r="B16" s="27">
        <f>IF(ISTEXT(C16),COUNTIF(C$10:C16,"&lt;&gt;0"),"")</f>
        <v>7</v>
      </c>
      <c r="C16" s="13" t="str">
        <f>VLOOKUP($A16,'Іменні заявки'!$A:$J,7,FALSE)</f>
        <v>Полонського р-ну</v>
      </c>
      <c r="D16" s="26">
        <v>1</v>
      </c>
      <c r="E16" s="148">
        <v>5</v>
      </c>
      <c r="F16" s="148"/>
      <c r="G16" s="28"/>
      <c r="H16" s="21">
        <f t="shared" si="0"/>
        <v>120</v>
      </c>
    </row>
    <row r="17" spans="1:8" ht="24" customHeight="1">
      <c r="A17" s="12">
        <v>140</v>
      </c>
      <c r="B17" s="27">
        <f>IF(ISTEXT(C17),COUNTIF(C$10:C17,"&lt;&gt;0"),"")</f>
        <v>8</v>
      </c>
      <c r="C17" s="13" t="str">
        <f>VLOOKUP($A17,'Іменні заявки'!$A:$J,7,FALSE)</f>
        <v>Старокостянтин. р-ну</v>
      </c>
      <c r="D17" s="28">
        <v>3</v>
      </c>
      <c r="E17" s="148">
        <v>8</v>
      </c>
      <c r="F17" s="148"/>
      <c r="G17" s="28"/>
      <c r="H17" s="21">
        <f t="shared" si="0"/>
        <v>140</v>
      </c>
    </row>
    <row r="18" spans="1:8" ht="24" customHeight="1">
      <c r="A18" s="12">
        <v>170</v>
      </c>
      <c r="B18" s="27">
        <f>IF(ISTEXT(C18),COUNTIF(C$10:C18,"&lt;&gt;0"),"")</f>
        <v>9</v>
      </c>
      <c r="C18" s="13" t="str">
        <f>VLOOKUP($A18,'Іменні заявки'!$A:$J,7,FALSE)</f>
        <v>Хмельницького р-ну</v>
      </c>
      <c r="D18" s="26">
        <v>9</v>
      </c>
      <c r="E18" s="148">
        <v>3</v>
      </c>
      <c r="F18" s="148"/>
      <c r="G18" s="28"/>
      <c r="H18" s="21">
        <f t="shared" si="0"/>
        <v>170</v>
      </c>
    </row>
    <row r="19" spans="1:8" ht="24" customHeight="1">
      <c r="A19" s="12">
        <v>180</v>
      </c>
      <c r="B19" s="27">
        <f>IF(ISTEXT(C19),COUNTIF(C$10:C19,"&lt;&gt;0"),"")</f>
        <v>10</v>
      </c>
      <c r="C19" s="13" t="str">
        <f>VLOOKUP($A19,'Іменні заявки'!$A:$J,7,FALSE)</f>
        <v>Чемеровецького р-ну</v>
      </c>
      <c r="D19" s="28">
        <v>14</v>
      </c>
      <c r="E19" s="148">
        <v>10</v>
      </c>
      <c r="F19" s="148"/>
      <c r="G19" s="28"/>
      <c r="H19" s="21">
        <f t="shared" si="0"/>
        <v>180</v>
      </c>
    </row>
    <row r="20" spans="1:8" ht="24" customHeight="1">
      <c r="A20" s="12">
        <v>190</v>
      </c>
      <c r="B20" s="27">
        <f>IF(ISTEXT(C20),COUNTIF(C$10:C20,"&lt;&gt;0"),"")</f>
        <v>11</v>
      </c>
      <c r="C20" s="13" t="str">
        <f>VLOOKUP($A20,'Іменні заявки'!$A:$J,7,FALSE)</f>
        <v>Шепетівського р-ну</v>
      </c>
      <c r="D20" s="26">
        <v>11</v>
      </c>
      <c r="E20" s="148">
        <v>6</v>
      </c>
      <c r="F20" s="148"/>
      <c r="G20" s="28"/>
      <c r="H20" s="21">
        <f t="shared" si="0"/>
        <v>190</v>
      </c>
    </row>
    <row r="21" spans="1:8" ht="24" customHeight="1">
      <c r="A21" s="12">
        <v>210</v>
      </c>
      <c r="B21" s="27">
        <f>IF(ISTEXT(C21),COUNTIF(C$10:C21,"&lt;&gt;0"),"")</f>
        <v>12</v>
      </c>
      <c r="C21" s="13" t="str">
        <f>VLOOKUP($A21,'Іменні заявки'!$A:$J,7,FALSE)</f>
        <v>м.Кам’янця-Подільського</v>
      </c>
      <c r="D21" s="28">
        <v>15</v>
      </c>
      <c r="E21" s="148">
        <v>4</v>
      </c>
      <c r="F21" s="148"/>
      <c r="G21" s="28"/>
      <c r="H21" s="21">
        <f t="shared" si="0"/>
        <v>210</v>
      </c>
    </row>
    <row r="22" spans="1:8" ht="24" customHeight="1">
      <c r="A22" s="12">
        <v>220</v>
      </c>
      <c r="B22" s="27">
        <f>IF(ISTEXT(C22),COUNTIF(C$10:C22,"&lt;&gt;0"),"")</f>
        <v>13</v>
      </c>
      <c r="C22" s="13" t="str">
        <f>VLOOKUP($A22,'Іменні заявки'!$A:$J,7,FALSE)</f>
        <v>м. Нетішина</v>
      </c>
      <c r="D22" s="28">
        <v>10</v>
      </c>
      <c r="E22" s="148">
        <v>2</v>
      </c>
      <c r="F22" s="148"/>
      <c r="G22" s="28"/>
      <c r="H22" s="21">
        <f t="shared" si="0"/>
        <v>220</v>
      </c>
    </row>
    <row r="23" spans="1:8" ht="24" customHeight="1">
      <c r="A23" s="12">
        <v>230</v>
      </c>
      <c r="B23" s="27">
        <f>IF(ISTEXT(C23),COUNTIF(C$10:C23,"&lt;&gt;0"),"")</f>
        <v>14</v>
      </c>
      <c r="C23" s="13" t="str">
        <f>VLOOKUP($A23,'Іменні заявки'!$A:$J,7,FALSE)</f>
        <v>м.Славути</v>
      </c>
      <c r="D23" s="28">
        <v>17</v>
      </c>
      <c r="E23" s="148">
        <v>1</v>
      </c>
      <c r="F23" s="148"/>
      <c r="G23" s="28"/>
      <c r="H23" s="21">
        <f t="shared" si="0"/>
        <v>230</v>
      </c>
    </row>
    <row r="24" spans="1:8" ht="24" customHeight="1">
      <c r="A24" s="12">
        <v>240</v>
      </c>
      <c r="B24" s="27">
        <f>IF(ISTEXT(C24),COUNTIF(C$10:C24,"&lt;&gt;0"),"")</f>
        <v>15</v>
      </c>
      <c r="C24" s="13" t="str">
        <f>VLOOKUP($A24,'Іменні заявки'!$A:$J,7,FALSE)</f>
        <v>м.Старокостянтинів</v>
      </c>
      <c r="D24" s="26">
        <v>5</v>
      </c>
      <c r="E24" s="148">
        <v>12</v>
      </c>
      <c r="F24" s="148"/>
      <c r="G24" s="28"/>
      <c r="H24" s="21">
        <f t="shared" si="0"/>
        <v>240</v>
      </c>
    </row>
    <row r="25" spans="1:8" ht="24" customHeight="1">
      <c r="A25" s="12">
        <v>250</v>
      </c>
      <c r="B25" s="27">
        <f>IF(ISTEXT(C25),COUNTIF(C$10:C25,"&lt;&gt;0"),"")</f>
        <v>16</v>
      </c>
      <c r="C25" s="13" t="str">
        <f>VLOOKUP($A25,'Іменні заявки'!$A:$J,7,FALSE)</f>
        <v>м.Хмельницького</v>
      </c>
      <c r="D25" s="28">
        <v>7</v>
      </c>
      <c r="E25" s="148">
        <v>9</v>
      </c>
      <c r="F25" s="148"/>
      <c r="G25" s="28"/>
      <c r="H25" s="21">
        <f t="shared" si="0"/>
        <v>250</v>
      </c>
    </row>
    <row r="26" spans="1:8" ht="24" customHeight="1" thickBot="1">
      <c r="A26" s="12">
        <v>260</v>
      </c>
      <c r="B26" s="27">
        <f>IF(ISTEXT(C26),COUNTIF(C$10:C26,"&lt;&gt;0"),"")</f>
        <v>17</v>
      </c>
      <c r="C26" s="13" t="str">
        <f>VLOOKUP($A26,'Іменні заявки'!$A:$J,7,FALSE)</f>
        <v>м.Шепетівки</v>
      </c>
      <c r="D26" s="26">
        <v>6</v>
      </c>
      <c r="E26" s="148">
        <v>7</v>
      </c>
      <c r="F26" s="148"/>
      <c r="G26" s="28"/>
      <c r="H26" s="21">
        <f t="shared" si="0"/>
        <v>260</v>
      </c>
    </row>
    <row r="27" spans="1:8" ht="24" customHeight="1" hidden="1">
      <c r="A27" s="12">
        <v>130</v>
      </c>
      <c r="B27" s="27">
        <f>IF(ISTEXT(C27),COUNTIF(C$10:C27,"&lt;&gt;0"),"")</f>
      </c>
      <c r="C27" s="13">
        <f>VLOOKUP($A27,'Іменні заявки'!$A:$J,7,FALSE)</f>
        <v>0</v>
      </c>
      <c r="D27" s="28"/>
      <c r="E27" s="148"/>
      <c r="F27" s="148"/>
      <c r="G27" s="28"/>
      <c r="H27" s="21">
        <f t="shared" si="0"/>
        <v>130</v>
      </c>
    </row>
    <row r="28" spans="1:8" ht="24" customHeight="1" hidden="1">
      <c r="A28" s="12">
        <v>70</v>
      </c>
      <c r="B28" s="27">
        <f>IF(ISTEXT(C28),COUNTIF(C$10:C28,"&lt;&gt;0"),"")</f>
      </c>
      <c r="C28" s="13">
        <f>VLOOKUP($A28,'Іменні заявки'!$A:$J,7,FALSE)</f>
        <v>0</v>
      </c>
      <c r="D28" s="26"/>
      <c r="E28" s="148"/>
      <c r="F28" s="148"/>
      <c r="G28" s="28"/>
      <c r="H28" s="21">
        <f t="shared" si="0"/>
        <v>70</v>
      </c>
    </row>
    <row r="29" spans="1:8" ht="24" customHeight="1" hidden="1">
      <c r="A29" s="12">
        <v>80</v>
      </c>
      <c r="B29" s="27">
        <f>IF(ISTEXT(C29),COUNTIF(C$10:C29,"&lt;&gt;0"),"")</f>
      </c>
      <c r="C29" s="13">
        <f>VLOOKUP($A29,'Іменні заявки'!$A:$J,7,FALSE)</f>
        <v>0</v>
      </c>
      <c r="D29" s="28"/>
      <c r="E29" s="148"/>
      <c r="F29" s="148"/>
      <c r="G29" s="28"/>
      <c r="H29" s="21">
        <f t="shared" si="0"/>
        <v>80</v>
      </c>
    </row>
    <row r="30" spans="1:8" ht="24" customHeight="1" hidden="1">
      <c r="A30" s="12">
        <v>30</v>
      </c>
      <c r="B30" s="27">
        <f>IF(ISTEXT(C30),COUNTIF(C$10:C30,"&lt;&gt;0"),"")</f>
      </c>
      <c r="C30" s="13">
        <f>VLOOKUP($A30,'Іменні заявки'!$A:$J,7,FALSE)</f>
        <v>0</v>
      </c>
      <c r="D30" s="28"/>
      <c r="E30" s="148"/>
      <c r="F30" s="148"/>
      <c r="G30" s="28"/>
      <c r="H30" s="21">
        <f t="shared" si="0"/>
        <v>30</v>
      </c>
    </row>
    <row r="31" spans="1:8" ht="24" customHeight="1" hidden="1">
      <c r="A31" s="12">
        <v>40</v>
      </c>
      <c r="B31" s="27">
        <f>IF(ISTEXT(C31),COUNTIF(C$10:C31,"&lt;&gt;0"),"")</f>
      </c>
      <c r="C31" s="13">
        <f>VLOOKUP($A31,'Іменні заявки'!$A:$J,7,FALSE)</f>
        <v>0</v>
      </c>
      <c r="D31" s="28"/>
      <c r="E31" s="148"/>
      <c r="F31" s="148"/>
      <c r="G31" s="28"/>
      <c r="H31" s="21">
        <f t="shared" si="0"/>
        <v>40</v>
      </c>
    </row>
    <row r="32" spans="1:8" ht="24" customHeight="1" hidden="1">
      <c r="A32" s="12">
        <v>150</v>
      </c>
      <c r="B32" s="27">
        <f>IF(ISTEXT(C32),COUNTIF(C$10:C32,"&lt;&gt;0"),"")</f>
      </c>
      <c r="C32" s="13">
        <f>VLOOKUP($A32,'Іменні заявки'!$A:$J,7,FALSE)</f>
        <v>0</v>
      </c>
      <c r="D32" s="28"/>
      <c r="E32" s="148"/>
      <c r="F32" s="148"/>
      <c r="G32" s="28"/>
      <c r="H32" s="21">
        <f t="shared" si="0"/>
        <v>150</v>
      </c>
    </row>
    <row r="33" spans="1:8" ht="24" customHeight="1" hidden="1">
      <c r="A33" s="12">
        <v>200</v>
      </c>
      <c r="B33" s="27">
        <f>IF(ISTEXT(C33),COUNTIF(C$10:C33,"&lt;&gt;0"),"")</f>
      </c>
      <c r="C33" s="13">
        <f>VLOOKUP($A33,'Іменні заявки'!$A:$J,7,FALSE)</f>
        <v>0</v>
      </c>
      <c r="D33" s="28"/>
      <c r="E33" s="148"/>
      <c r="F33" s="148"/>
      <c r="G33" s="28"/>
      <c r="H33" s="21">
        <f t="shared" si="0"/>
        <v>200</v>
      </c>
    </row>
    <row r="34" spans="1:8" ht="24" customHeight="1" hidden="1">
      <c r="A34" s="12">
        <v>270</v>
      </c>
      <c r="B34" s="27">
        <f>IF(ISTEXT(C34),COUNTIF(C$10:C34,"&lt;&gt;0"),"")</f>
      </c>
      <c r="C34" s="13">
        <f>VLOOKUP($A34,'Іменні заявки'!$A:$J,7,FALSE)</f>
        <v>0</v>
      </c>
      <c r="D34" s="28"/>
      <c r="E34" s="148"/>
      <c r="F34" s="148"/>
      <c r="G34" s="28"/>
      <c r="H34" s="21">
        <f t="shared" si="0"/>
        <v>270</v>
      </c>
    </row>
    <row r="35" spans="1:8" ht="24" customHeight="1" hidden="1">
      <c r="A35" s="12">
        <v>100</v>
      </c>
      <c r="B35" s="27">
        <f>IF(ISTEXT(C35),COUNTIF(C$10:C35,"&lt;&gt;0"),"")</f>
      </c>
      <c r="C35" s="13">
        <f>VLOOKUP($A35,'Іменні заявки'!$A:$J,7,FALSE)</f>
        <v>0</v>
      </c>
      <c r="D35" s="28"/>
      <c r="E35" s="148"/>
      <c r="F35" s="148"/>
      <c r="G35" s="28"/>
      <c r="H35" s="21">
        <f t="shared" si="0"/>
        <v>100</v>
      </c>
    </row>
    <row r="36" spans="1:8" ht="24" customHeight="1" hidden="1" thickBot="1">
      <c r="A36" s="12">
        <v>160</v>
      </c>
      <c r="B36" s="27">
        <f>IF(ISTEXT(C36),COUNTIF(C$10:C36,"&lt;&gt;0"),"")</f>
      </c>
      <c r="C36" s="13">
        <f>VLOOKUP($A36,'Іменні заявки'!$A:$J,7,FALSE)</f>
        <v>0</v>
      </c>
      <c r="D36" s="28"/>
      <c r="E36" s="148"/>
      <c r="F36" s="148"/>
      <c r="G36" s="28"/>
      <c r="H36" s="21">
        <f t="shared" si="0"/>
        <v>160</v>
      </c>
    </row>
    <row r="37" spans="1:8" ht="7.5" customHeight="1">
      <c r="A37" s="3"/>
      <c r="B37" s="252"/>
      <c r="C37" s="252"/>
      <c r="D37" s="252"/>
      <c r="E37" s="252"/>
      <c r="F37" s="252"/>
      <c r="G37" s="252"/>
      <c r="H37" s="3"/>
    </row>
    <row r="38" spans="1:8" ht="15" customHeight="1">
      <c r="A38" s="3"/>
      <c r="C38" s="96" t="str">
        <f>"Головний суддя _________________ "&amp;'Іменні заявки'!$C$6</f>
        <v>Головний суддя _________________ Гринчук В.В.</v>
      </c>
      <c r="H38" s="3"/>
    </row>
    <row r="39" spans="1:8" ht="7.5" customHeight="1">
      <c r="A39" s="3"/>
      <c r="B39" s="104"/>
      <c r="C39"/>
      <c r="D39" s="104"/>
      <c r="E39" s="104"/>
      <c r="F39" s="104"/>
      <c r="G39" s="104"/>
      <c r="H39" s="3"/>
    </row>
    <row r="40" spans="1:8" ht="15" customHeight="1">
      <c r="A40" s="3"/>
      <c r="B40" s="3"/>
      <c r="C40" s="96" t="str">
        <f>"Головний секретар _________________ "&amp;'Іменні заявки'!$C$7</f>
        <v>Головний секретар _________________ Кіретова І.О.</v>
      </c>
      <c r="D40" s="3"/>
      <c r="E40" s="3"/>
      <c r="F40" s="3"/>
      <c r="G40" s="3"/>
      <c r="H40" s="3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24.75" customHeight="1">
      <c r="A42" s="3"/>
      <c r="B42" s="3"/>
      <c r="C42" s="3"/>
      <c r="D42" s="28" t="s">
        <v>90</v>
      </c>
      <c r="E42" s="28" t="s">
        <v>90</v>
      </c>
      <c r="F42" s="28" t="s">
        <v>90</v>
      </c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3"/>
      <c r="B48" s="3"/>
      <c r="C48" s="3"/>
      <c r="D48" s="3"/>
      <c r="E48" s="3"/>
      <c r="F48" s="3"/>
      <c r="G48" s="3"/>
      <c r="H48" s="3"/>
    </row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ht="15" customHeight="1"/>
  </sheetData>
  <sheetProtection/>
  <mergeCells count="11">
    <mergeCell ref="B2:G2"/>
    <mergeCell ref="B4:G4"/>
    <mergeCell ref="B6:G6"/>
    <mergeCell ref="E8:E9"/>
    <mergeCell ref="F8:F9"/>
    <mergeCell ref="D8:D9"/>
    <mergeCell ref="B1:G1"/>
    <mergeCell ref="B3:G3"/>
    <mergeCell ref="G8:G9"/>
    <mergeCell ref="B8:B9"/>
    <mergeCell ref="C8:C9"/>
  </mergeCells>
  <printOptions horizontalCentered="1"/>
  <pageMargins left="0.984251968503937" right="0.3937007874015748" top="0.3937007874015748" bottom="0.3937007874015748" header="0.5118110236220472" footer="0.5118110236220472"/>
  <pageSetup fitToHeight="1" fitToWidth="1"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80"/>
  <sheetViews>
    <sheetView view="pageBreakPreview" zoomScaleSheetLayoutView="100" zoomScalePageLayoutView="58" workbookViewId="0" topLeftCell="A1">
      <selection activeCell="B5" sqref="B5"/>
    </sheetView>
  </sheetViews>
  <sheetFormatPr defaultColWidth="9.00390625" defaultRowHeight="12.75"/>
  <cols>
    <col min="1" max="1" width="5.75390625" style="14" customWidth="1"/>
    <col min="2" max="2" width="3.875" style="14" customWidth="1"/>
    <col min="3" max="3" width="33.625" style="14" customWidth="1"/>
    <col min="4" max="5" width="17.125" style="295" hidden="1" customWidth="1"/>
    <col min="6" max="7" width="8.75390625" style="295" hidden="1" customWidth="1"/>
    <col min="8" max="8" width="14.00390625" style="295" customWidth="1"/>
    <col min="9" max="9" width="14.00390625" style="14" customWidth="1"/>
    <col min="10" max="10" width="5.75390625" style="14" customWidth="1"/>
    <col min="11" max="16384" width="9.125" style="14" customWidth="1"/>
  </cols>
  <sheetData>
    <row r="1" spans="2:10" s="23" customFormat="1" ht="26.25" customHeight="1">
      <c r="B1" s="472" t="str">
        <f>'Іменні заявки'!C1</f>
        <v>Департамент освіти і науки Хмельницької обласної державної адміністрації</v>
      </c>
      <c r="C1" s="473"/>
      <c r="D1" s="473"/>
      <c r="E1" s="473"/>
      <c r="F1" s="473"/>
      <c r="G1" s="473"/>
      <c r="H1" s="473"/>
      <c r="I1" s="473"/>
      <c r="J1" s="24"/>
    </row>
    <row r="2" spans="2:10" s="23" customFormat="1" ht="29.25" customHeight="1">
      <c r="B2" s="472" t="str">
        <f>'Іменні заявки'!C2</f>
        <v>ХМЕЛЬНИЦЬКИЙ ОБЛАСНИЙ ЦЕНТР ТУРИЗМУ І КРАЄЗНАВСТВА УЧНІВСЬКОЇ МОЛОДІ</v>
      </c>
      <c r="C2" s="473"/>
      <c r="D2" s="473"/>
      <c r="E2" s="473"/>
      <c r="F2" s="473"/>
      <c r="G2" s="473"/>
      <c r="H2" s="473"/>
      <c r="I2" s="473"/>
      <c r="J2" s="24"/>
    </row>
    <row r="3" spans="2:10" s="23" customFormat="1" ht="33.75" customHeight="1">
      <c r="B3" s="468" t="str">
        <f>'Іменні заявки'!C3</f>
        <v>Чемпіонат області серед працівників закладів освіти з пішохідного туризму "Листопад-2015"</v>
      </c>
      <c r="C3" s="468"/>
      <c r="D3" s="468"/>
      <c r="E3" s="468"/>
      <c r="F3" s="468"/>
      <c r="G3" s="468"/>
      <c r="H3" s="468"/>
      <c r="I3" s="468"/>
      <c r="J3" s="24"/>
    </row>
    <row r="4" spans="2:10" s="23" customFormat="1" ht="6" customHeight="1">
      <c r="B4" s="467"/>
      <c r="C4" s="468"/>
      <c r="D4" s="468"/>
      <c r="E4" s="468"/>
      <c r="F4" s="468"/>
      <c r="G4" s="468"/>
      <c r="H4" s="468"/>
      <c r="I4" s="468"/>
      <c r="J4" s="24"/>
    </row>
    <row r="5" spans="2:10" s="23" customFormat="1" ht="12.75">
      <c r="B5" s="2" t="s">
        <v>349</v>
      </c>
      <c r="C5" s="3"/>
      <c r="D5" s="14"/>
      <c r="E5" s="14"/>
      <c r="F5" s="14"/>
      <c r="G5" s="14"/>
      <c r="H5" s="14"/>
      <c r="I5" s="155" t="str">
        <f>'Іменні заявки'!C4</f>
        <v>ур.Новики Старокостянтинівського р-ну</v>
      </c>
      <c r="J5" s="24"/>
    </row>
    <row r="6" spans="2:10" s="23" customFormat="1" ht="33" customHeight="1">
      <c r="B6" s="476" t="s">
        <v>235</v>
      </c>
      <c r="C6" s="469"/>
      <c r="D6" s="469"/>
      <c r="E6" s="469"/>
      <c r="F6" s="469"/>
      <c r="G6" s="469"/>
      <c r="H6" s="469"/>
      <c r="I6" s="469"/>
      <c r="J6" s="24"/>
    </row>
    <row r="7" spans="2:10" ht="13.5" thickBot="1">
      <c r="B7" s="3"/>
      <c r="C7" s="3"/>
      <c r="D7" s="14"/>
      <c r="E7" s="14"/>
      <c r="F7" s="14"/>
      <c r="G7" s="14"/>
      <c r="H7" s="14"/>
      <c r="I7" s="3"/>
      <c r="J7" s="25"/>
    </row>
    <row r="8" spans="2:10" ht="41.25" customHeight="1" thickBot="1">
      <c r="B8" s="278" t="s">
        <v>26</v>
      </c>
      <c r="C8" s="284" t="s">
        <v>27</v>
      </c>
      <c r="D8" s="285" t="s">
        <v>236</v>
      </c>
      <c r="E8" s="285" t="s">
        <v>237</v>
      </c>
      <c r="F8" s="285" t="s">
        <v>238</v>
      </c>
      <c r="G8" s="285" t="s">
        <v>239</v>
      </c>
      <c r="H8" s="286" t="s">
        <v>240</v>
      </c>
      <c r="I8" s="286" t="s">
        <v>241</v>
      </c>
      <c r="J8" s="25"/>
    </row>
    <row r="9" spans="1:10" ht="18.75" customHeight="1">
      <c r="A9" s="12">
        <v>120</v>
      </c>
      <c r="B9" s="147">
        <f>IF(ISTEXT(C9),COUNTIF(C$9:C9,"&lt;&gt;0"),"")</f>
        <v>1</v>
      </c>
      <c r="C9" s="13" t="str">
        <f>VLOOKUP($A9,'Іменні заявки'!$A:$J,7,FALSE)</f>
        <v>Полонського р-ну</v>
      </c>
      <c r="D9" s="287"/>
      <c r="E9" s="157"/>
      <c r="F9" s="157"/>
      <c r="G9" s="157"/>
      <c r="H9" s="26">
        <f>IF(ISNA(VLOOKUP(A9,'Проток.жеребк.'!$A:$H,4,FALSE)),"—",VLOOKUP(A9,'Проток.жеребк.'!$A:$H,4,FALSE))</f>
        <v>1</v>
      </c>
      <c r="I9" s="288">
        <v>0.354166666666667</v>
      </c>
      <c r="J9" s="21">
        <f aca="true" t="shared" si="0" ref="J9:J35">A9</f>
        <v>120</v>
      </c>
    </row>
    <row r="10" spans="1:10" ht="18.75" customHeight="1">
      <c r="A10" s="12">
        <v>110</v>
      </c>
      <c r="B10" s="27">
        <f>IF(ISTEXT(C10),COUNTIF(C$9:C10,"&lt;&gt;0"),"")</f>
        <v>2</v>
      </c>
      <c r="C10" s="13" t="str">
        <f>VLOOKUP($A10,'Іменні заявки'!$A:$J,7,FALSE)</f>
        <v>Новоушицького р-ну</v>
      </c>
      <c r="D10" s="148"/>
      <c r="E10" s="289"/>
      <c r="F10" s="289"/>
      <c r="G10" s="289"/>
      <c r="H10" s="28">
        <f>IF(ISNA(VLOOKUP(A10,'Проток.жеребк.'!$A:$H,4,FALSE)),"—",VLOOKUP(A10,'Проток.жеребк.'!$A:$H,4,FALSE))</f>
        <v>2</v>
      </c>
      <c r="I10" s="290">
        <v>0.3680555555555556</v>
      </c>
      <c r="J10" s="21">
        <f t="shared" si="0"/>
        <v>110</v>
      </c>
    </row>
    <row r="11" spans="1:10" ht="18.75" customHeight="1">
      <c r="A11" s="12">
        <v>140</v>
      </c>
      <c r="B11" s="27">
        <f>IF(ISTEXT(C11),COUNTIF(C$9:C11,"&lt;&gt;0"),"")</f>
        <v>3</v>
      </c>
      <c r="C11" s="13" t="str">
        <f>VLOOKUP($A11,'Іменні заявки'!$A:$J,7,FALSE)</f>
        <v>Старокостянтин. р-ну</v>
      </c>
      <c r="D11" s="287"/>
      <c r="E11" s="157"/>
      <c r="F11" s="157"/>
      <c r="G11" s="157"/>
      <c r="H11" s="26">
        <f>IF(ISNA(VLOOKUP(A11,'Проток.жеребк.'!$A:$H,4,FALSE)),"—",VLOOKUP(A11,'Проток.жеребк.'!$A:$H,4,FALSE))</f>
        <v>3</v>
      </c>
      <c r="I11" s="288">
        <v>0.381944444444444</v>
      </c>
      <c r="J11" s="21">
        <f t="shared" si="0"/>
        <v>140</v>
      </c>
    </row>
    <row r="12" spans="1:10" ht="18.75" customHeight="1">
      <c r="A12" s="12">
        <v>60</v>
      </c>
      <c r="B12" s="27">
        <f>IF(ISTEXT(C12),COUNTIF(C$9:C12,"&lt;&gt;0"),"")</f>
        <v>4</v>
      </c>
      <c r="C12" s="13" t="str">
        <f>VLOOKUP($A12,'Іменні заявки'!$A:$J,7,FALSE)</f>
        <v>Дунаєвецького р-ну</v>
      </c>
      <c r="D12" s="148"/>
      <c r="E12" s="157"/>
      <c r="F12" s="157"/>
      <c r="G12" s="157"/>
      <c r="H12" s="26">
        <f>IF(ISNA(VLOOKUP(A12,'Проток.жеребк.'!$A:$H,4,FALSE)),"—",VLOOKUP(A12,'Проток.жеребк.'!$A:$H,4,FALSE))</f>
        <v>4</v>
      </c>
      <c r="I12" s="290">
        <v>0.395833333333333</v>
      </c>
      <c r="J12" s="21">
        <f t="shared" si="0"/>
        <v>60</v>
      </c>
    </row>
    <row r="13" spans="1:10" ht="18.75" customHeight="1">
      <c r="A13" s="12">
        <v>240</v>
      </c>
      <c r="B13" s="27">
        <f>IF(ISTEXT(C13),COUNTIF(C$9:C13,"&lt;&gt;0"),"")</f>
        <v>5</v>
      </c>
      <c r="C13" s="13" t="str">
        <f>VLOOKUP($A13,'Іменні заявки'!$A:$J,7,FALSE)</f>
        <v>м.Старокостянтинів</v>
      </c>
      <c r="D13" s="287"/>
      <c r="E13" s="157"/>
      <c r="F13" s="157"/>
      <c r="G13" s="157"/>
      <c r="H13" s="28">
        <f>IF(ISNA(VLOOKUP(A13,'Проток.жеребк.'!$A:$H,4,FALSE)),"—",VLOOKUP(A13,'Проток.жеребк.'!$A:$H,4,FALSE))</f>
        <v>5</v>
      </c>
      <c r="I13" s="288">
        <v>0.409722222222221</v>
      </c>
      <c r="J13" s="21">
        <f t="shared" si="0"/>
        <v>240</v>
      </c>
    </row>
    <row r="14" spans="1:10" ht="18.75" customHeight="1">
      <c r="A14" s="12">
        <v>250</v>
      </c>
      <c r="B14" s="27">
        <f>IF(ISTEXT(C14),COUNTIF(C$9:C14,"&lt;&gt;0"),"")</f>
        <v>6</v>
      </c>
      <c r="C14" s="13" t="str">
        <f>VLOOKUP($A14,'Іменні заявки'!$A:$J,7,FALSE)</f>
        <v>м.Хмельницького</v>
      </c>
      <c r="D14" s="148"/>
      <c r="E14" s="157"/>
      <c r="F14" s="157"/>
      <c r="G14" s="157"/>
      <c r="H14" s="26">
        <f>IF(ISNA(VLOOKUP(A14,'Проток.жеребк.'!$A:$H,4,FALSE)),"—",VLOOKUP(A14,'Проток.жеребк.'!$A:$H,4,FALSE))</f>
        <v>7</v>
      </c>
      <c r="I14" s="290">
        <v>0.42361111111111</v>
      </c>
      <c r="J14" s="21">
        <f t="shared" si="0"/>
        <v>250</v>
      </c>
    </row>
    <row r="15" spans="1:10" ht="18.75" customHeight="1">
      <c r="A15" s="12">
        <v>260</v>
      </c>
      <c r="B15" s="27">
        <f>IF(ISTEXT(C15),COUNTIF(C$9:C15,"&lt;&gt;0"),"")</f>
        <v>7</v>
      </c>
      <c r="C15" s="13" t="str">
        <f>VLOOKUP($A15,'Іменні заявки'!$A:$J,7,FALSE)</f>
        <v>м.Шепетівки</v>
      </c>
      <c r="D15" s="287"/>
      <c r="E15" s="157"/>
      <c r="F15" s="157"/>
      <c r="G15" s="157"/>
      <c r="H15" s="26">
        <f>IF(ISNA(VLOOKUP(A15,'Проток.жеребк.'!$A:$H,4,FALSE)),"—",VLOOKUP(A15,'Проток.жеребк.'!$A:$H,4,FALSE))</f>
        <v>6</v>
      </c>
      <c r="I15" s="288">
        <v>0.437499999999998</v>
      </c>
      <c r="J15" s="21">
        <f t="shared" si="0"/>
        <v>260</v>
      </c>
    </row>
    <row r="16" spans="1:10" ht="18.75" customHeight="1">
      <c r="A16" s="12">
        <v>50</v>
      </c>
      <c r="B16" s="27">
        <f>IF(ISTEXT(C16),COUNTIF(C$9:C16,"&lt;&gt;0"),"")</f>
        <v>8</v>
      </c>
      <c r="C16" s="13" t="str">
        <f>VLOOKUP($A16,'Іменні заявки'!$A:$J,7,FALSE)</f>
        <v>Деражнянського р-ну</v>
      </c>
      <c r="D16" s="148"/>
      <c r="E16" s="289"/>
      <c r="F16" s="289"/>
      <c r="G16" s="289"/>
      <c r="H16" s="28">
        <f>IF(ISNA(VLOOKUP(A16,'Проток.жеребк.'!$A:$H,4,FALSE)),"—",VLOOKUP(A16,'Проток.жеребк.'!$A:$H,4,FALSE))</f>
        <v>8</v>
      </c>
      <c r="I16" s="290">
        <v>0.451388888888887</v>
      </c>
      <c r="J16" s="21">
        <f t="shared" si="0"/>
        <v>50</v>
      </c>
    </row>
    <row r="17" spans="1:10" ht="18.75" customHeight="1">
      <c r="A17" s="12">
        <v>170</v>
      </c>
      <c r="B17" s="27">
        <f>IF(ISTEXT(C17),COUNTIF(C$9:C17,"&lt;&gt;0"),"")</f>
        <v>9</v>
      </c>
      <c r="C17" s="13" t="str">
        <f>VLOOKUP($A17,'Іменні заявки'!$A:$J,7,FALSE)</f>
        <v>Хмельницького р-ну</v>
      </c>
      <c r="D17" s="287"/>
      <c r="E17" s="157"/>
      <c r="F17" s="157"/>
      <c r="G17" s="157"/>
      <c r="H17" s="26">
        <f>IF(ISNA(VLOOKUP(A17,'Проток.жеребк.'!$A:$H,4,FALSE)),"—",VLOOKUP(A17,'Проток.жеребк.'!$A:$H,4,FALSE))</f>
        <v>9</v>
      </c>
      <c r="I17" s="288">
        <v>0.465277777777775</v>
      </c>
      <c r="J17" s="21">
        <f t="shared" si="0"/>
        <v>170</v>
      </c>
    </row>
    <row r="18" spans="1:10" ht="18.75" customHeight="1">
      <c r="A18" s="12">
        <v>220</v>
      </c>
      <c r="B18" s="27">
        <f>IF(ISTEXT(C18),COUNTIF(C$9:C18,"&lt;&gt;0"),"")</f>
        <v>10</v>
      </c>
      <c r="C18" s="13" t="str">
        <f>VLOOKUP($A18,'Іменні заявки'!$A:$J,7,FALSE)</f>
        <v>м. Нетішина</v>
      </c>
      <c r="D18" s="148"/>
      <c r="E18" s="157"/>
      <c r="F18" s="157"/>
      <c r="G18" s="157"/>
      <c r="H18" s="26">
        <f>IF(ISNA(VLOOKUP(A18,'Проток.жеребк.'!$A:$H,4,FALSE)),"—",VLOOKUP(A18,'Проток.жеребк.'!$A:$H,4,FALSE))</f>
        <v>10</v>
      </c>
      <c r="I18" s="290">
        <v>0.479166666666664</v>
      </c>
      <c r="J18" s="21">
        <f t="shared" si="0"/>
        <v>220</v>
      </c>
    </row>
    <row r="19" spans="1:10" ht="18.75" customHeight="1">
      <c r="A19" s="12">
        <v>190</v>
      </c>
      <c r="B19" s="27">
        <f>IF(ISTEXT(C19),COUNTIF(C$9:C19,"&lt;&gt;0"),"")</f>
        <v>11</v>
      </c>
      <c r="C19" s="13" t="str">
        <f>VLOOKUP($A19,'Іменні заявки'!$A:$J,7,FALSE)</f>
        <v>Шепетівського р-ну</v>
      </c>
      <c r="D19" s="287"/>
      <c r="E19" s="157"/>
      <c r="F19" s="157"/>
      <c r="G19" s="157"/>
      <c r="H19" s="28">
        <f>IF(ISNA(VLOOKUP(A19,'Проток.жеребк.'!$A:$H,4,FALSE)),"—",VLOOKUP(A19,'Проток.жеребк.'!$A:$H,4,FALSE))</f>
        <v>11</v>
      </c>
      <c r="I19" s="288">
        <v>0.493055555555553</v>
      </c>
      <c r="J19" s="21">
        <f t="shared" si="0"/>
        <v>190</v>
      </c>
    </row>
    <row r="20" spans="1:10" ht="18.75" customHeight="1">
      <c r="A20" s="12">
        <v>10</v>
      </c>
      <c r="B20" s="27">
        <f>IF(ISTEXT(C20),COUNTIF(C$9:C20,"&lt;&gt;0"),"")</f>
        <v>12</v>
      </c>
      <c r="C20" s="13" t="str">
        <f>VLOOKUP($A20,'Іменні заявки'!$A:$J,7,FALSE)</f>
        <v>Білогірського р-ну</v>
      </c>
      <c r="D20" s="148"/>
      <c r="E20" s="157"/>
      <c r="F20" s="157"/>
      <c r="G20" s="157"/>
      <c r="H20" s="26">
        <f>IF(ISNA(VLOOKUP(A20,'Проток.жеребк.'!$A:$H,4,FALSE)),"—",VLOOKUP(A20,'Проток.жеребк.'!$A:$H,4,FALSE))</f>
        <v>12</v>
      </c>
      <c r="I20" s="290">
        <v>0.506944444444441</v>
      </c>
      <c r="J20" s="21">
        <f t="shared" si="0"/>
        <v>10</v>
      </c>
    </row>
    <row r="21" spans="1:10" ht="18.75" customHeight="1">
      <c r="A21" s="12">
        <v>20</v>
      </c>
      <c r="B21" s="27">
        <f>IF(ISTEXT(C21),COUNTIF(C$9:C21,"&lt;&gt;0"),"")</f>
        <v>13</v>
      </c>
      <c r="C21" s="13" t="str">
        <f>VLOOKUP($A21,'Іменні заявки'!$A:$J,7,FALSE)</f>
        <v>Віньковецького р-ну</v>
      </c>
      <c r="D21" s="148"/>
      <c r="E21" s="157"/>
      <c r="F21" s="157"/>
      <c r="G21" s="157"/>
      <c r="H21" s="26">
        <f>IF(ISNA(VLOOKUP(A21,'Проток.жеребк.'!$A:$H,4,FALSE)),"—",VLOOKUP(A21,'Проток.жеребк.'!$A:$H,4,FALSE))</f>
        <v>13</v>
      </c>
      <c r="I21" s="288">
        <v>0.52083333333333</v>
      </c>
      <c r="J21" s="21">
        <f t="shared" si="0"/>
        <v>20</v>
      </c>
    </row>
    <row r="22" spans="1:10" ht="18.75" customHeight="1">
      <c r="A22" s="12">
        <v>180</v>
      </c>
      <c r="B22" s="27">
        <f>IF(ISTEXT(C22),COUNTIF(C$9:C22,"&lt;&gt;0"),"")</f>
        <v>14</v>
      </c>
      <c r="C22" s="13" t="str">
        <f>VLOOKUP($A22,'Іменні заявки'!$A:$J,7,FALSE)</f>
        <v>Чемеровецького р-ну</v>
      </c>
      <c r="D22" s="148"/>
      <c r="E22" s="157"/>
      <c r="F22" s="157"/>
      <c r="G22" s="157"/>
      <c r="H22" s="26">
        <f>IF(ISNA(VLOOKUP(A22,'Проток.жеребк.'!$A:$H,4,FALSE)),"—",VLOOKUP(A22,'Проток.жеребк.'!$A:$H,4,FALSE))</f>
        <v>14</v>
      </c>
      <c r="I22" s="290">
        <v>0.534722222222218</v>
      </c>
      <c r="J22" s="21">
        <f t="shared" si="0"/>
        <v>180</v>
      </c>
    </row>
    <row r="23" spans="1:10" ht="18.75" customHeight="1">
      <c r="A23" s="12">
        <v>210</v>
      </c>
      <c r="B23" s="27">
        <f>IF(ISTEXT(C23),COUNTIF(C$9:C23,"&lt;&gt;0"),"")</f>
        <v>15</v>
      </c>
      <c r="C23" s="13" t="str">
        <f>VLOOKUP($A23,'Іменні заявки'!$A:$J,7,FALSE)</f>
        <v>м.Кам’янця-Подільського</v>
      </c>
      <c r="D23" s="148"/>
      <c r="E23" s="157"/>
      <c r="F23" s="157"/>
      <c r="G23" s="157"/>
      <c r="H23" s="26">
        <f>IF(ISNA(VLOOKUP(A23,'Проток.жеребк.'!$A:$H,4,FALSE)),"—",VLOOKUP(A23,'Проток.жеребк.'!$A:$H,4,FALSE))</f>
        <v>15</v>
      </c>
      <c r="I23" s="288">
        <v>0.548611111111107</v>
      </c>
      <c r="J23" s="21">
        <f t="shared" si="0"/>
        <v>210</v>
      </c>
    </row>
    <row r="24" spans="1:10" ht="18.75" customHeight="1">
      <c r="A24" s="12">
        <v>90</v>
      </c>
      <c r="B24" s="27">
        <f>IF(ISTEXT(C24),COUNTIF(C$9:C24,"&lt;&gt;0"),"")</f>
        <v>16</v>
      </c>
      <c r="C24" s="13" t="str">
        <f>VLOOKUP($A24,'Іменні заявки'!$A:$J,7,FALSE)</f>
        <v>Красилівського р-ну</v>
      </c>
      <c r="D24" s="148"/>
      <c r="E24" s="157"/>
      <c r="F24" s="157"/>
      <c r="G24" s="157"/>
      <c r="H24" s="26">
        <f>IF(ISNA(VLOOKUP(A24,'Проток.жеребк.'!$A:$H,4,FALSE)),"—",VLOOKUP(A24,'Проток.жеребк.'!$A:$H,4,FALSE))</f>
        <v>16</v>
      </c>
      <c r="I24" s="290">
        <v>0.562499999999995</v>
      </c>
      <c r="J24" s="21">
        <f t="shared" si="0"/>
        <v>90</v>
      </c>
    </row>
    <row r="25" spans="1:10" ht="18.75" customHeight="1" thickBot="1">
      <c r="A25" s="12">
        <v>230</v>
      </c>
      <c r="B25" s="27">
        <f>IF(ISTEXT(C25),COUNTIF(C$9:C25,"&lt;&gt;0"),"")</f>
        <v>17</v>
      </c>
      <c r="C25" s="13" t="str">
        <f>VLOOKUP($A25,'Іменні заявки'!$A:$J,7,FALSE)</f>
        <v>м.Славути</v>
      </c>
      <c r="D25" s="148"/>
      <c r="E25" s="157"/>
      <c r="F25" s="157"/>
      <c r="G25" s="157"/>
      <c r="H25" s="26">
        <f>IF(ISNA(VLOOKUP(A25,'Проток.жеребк.'!$A:$H,4,FALSE)),"—",VLOOKUP(A25,'Проток.жеребк.'!$A:$H,4,FALSE))</f>
        <v>17</v>
      </c>
      <c r="I25" s="288">
        <v>0.576388888888884</v>
      </c>
      <c r="J25" s="21">
        <f t="shared" si="0"/>
        <v>230</v>
      </c>
    </row>
    <row r="26" spans="1:10" ht="18.75" customHeight="1" hidden="1">
      <c r="A26" s="12">
        <v>30</v>
      </c>
      <c r="B26" s="27">
        <f>IF(ISTEXT(C26),COUNTIF(C$9:C26,"&lt;&gt;0"),"")</f>
      </c>
      <c r="C26" s="13">
        <f>VLOOKUP($A26,'Іменні заявки'!$A:$J,7,FALSE)</f>
        <v>0</v>
      </c>
      <c r="D26" s="148"/>
      <c r="E26" s="157"/>
      <c r="F26" s="157"/>
      <c r="G26" s="157"/>
      <c r="H26" s="26"/>
      <c r="I26" s="290"/>
      <c r="J26" s="21">
        <f t="shared" si="0"/>
        <v>30</v>
      </c>
    </row>
    <row r="27" spans="1:10" ht="18.75" customHeight="1" hidden="1">
      <c r="A27" s="12">
        <v>40</v>
      </c>
      <c r="B27" s="27">
        <f>IF(ISTEXT(C27),COUNTIF(C$9:C27,"&lt;&gt;0"),"")</f>
      </c>
      <c r="C27" s="156">
        <f>VLOOKUP($A27,'Іменні заявки'!$A:$J,7,FALSE)</f>
        <v>0</v>
      </c>
      <c r="D27" s="148"/>
      <c r="E27" s="289"/>
      <c r="F27" s="289"/>
      <c r="G27" s="28"/>
      <c r="H27" s="28"/>
      <c r="I27" s="288"/>
      <c r="J27" s="21">
        <f t="shared" si="0"/>
        <v>40</v>
      </c>
    </row>
    <row r="28" spans="1:10" ht="16.5" customHeight="1" hidden="1">
      <c r="A28" s="12">
        <v>70</v>
      </c>
      <c r="B28" s="291">
        <f>IF(ISTEXT(C28),COUNTIF(C$9:C28,"&lt;&gt;0"),"")</f>
      </c>
      <c r="C28" s="13">
        <f>VLOOKUP($A28,'Іменні заявки'!$A:$J,7,FALSE)</f>
        <v>0</v>
      </c>
      <c r="D28" s="287"/>
      <c r="E28" s="157"/>
      <c r="F28" s="157"/>
      <c r="G28" s="157"/>
      <c r="H28" s="26"/>
      <c r="I28" s="290"/>
      <c r="J28" s="21">
        <f t="shared" si="0"/>
        <v>70</v>
      </c>
    </row>
    <row r="29" spans="1:10" ht="16.5" customHeight="1" hidden="1">
      <c r="A29" s="12">
        <v>80</v>
      </c>
      <c r="B29" s="27">
        <f>IF(ISTEXT(C29),COUNTIF(C$9:C29,"&lt;&gt;0"),"")</f>
      </c>
      <c r="C29" s="13">
        <f>VLOOKUP($A29,'Іменні заявки'!$A:$J,7,FALSE)</f>
        <v>0</v>
      </c>
      <c r="D29" s="148"/>
      <c r="E29" s="157"/>
      <c r="F29" s="157"/>
      <c r="G29" s="157"/>
      <c r="H29" s="26"/>
      <c r="I29" s="290"/>
      <c r="J29" s="21">
        <f t="shared" si="0"/>
        <v>80</v>
      </c>
    </row>
    <row r="30" spans="1:10" ht="16.5" customHeight="1" hidden="1">
      <c r="A30" s="12">
        <v>100</v>
      </c>
      <c r="B30" s="27">
        <f>IF(ISTEXT(C30),COUNTIF(C$9:C30,"&lt;&gt;0"),"")</f>
      </c>
      <c r="C30" s="13">
        <f>VLOOKUP($A30,'Іменні заявки'!$A:$J,7,FALSE)</f>
        <v>0</v>
      </c>
      <c r="D30" s="148"/>
      <c r="E30" s="157"/>
      <c r="F30" s="157"/>
      <c r="G30" s="157"/>
      <c r="H30" s="26"/>
      <c r="I30" s="288"/>
      <c r="J30" s="21">
        <f t="shared" si="0"/>
        <v>100</v>
      </c>
    </row>
    <row r="31" spans="1:10" ht="16.5" customHeight="1" hidden="1">
      <c r="A31" s="12">
        <v>130</v>
      </c>
      <c r="B31" s="149">
        <f>IF(ISTEXT(C31),COUNTIF(C$9:C31,"&lt;&gt;0"),"")</f>
      </c>
      <c r="C31" s="13">
        <f>VLOOKUP($A31,'Іменні заявки'!$A:$J,7,FALSE)</f>
        <v>0</v>
      </c>
      <c r="D31" s="148"/>
      <c r="E31" s="157"/>
      <c r="F31" s="157"/>
      <c r="G31" s="157"/>
      <c r="H31" s="26"/>
      <c r="I31" s="290"/>
      <c r="J31" s="21">
        <f t="shared" si="0"/>
        <v>130</v>
      </c>
    </row>
    <row r="32" spans="1:10" ht="16.5" customHeight="1" hidden="1">
      <c r="A32" s="12">
        <v>150</v>
      </c>
      <c r="B32" s="27">
        <f>IF(ISTEXT(C32),COUNTIF(C$9:C32,"&lt;&gt;0"),"")</f>
      </c>
      <c r="C32" s="13">
        <f>VLOOKUP($A32,'Іменні заявки'!$A:$J,7,FALSE)</f>
        <v>0</v>
      </c>
      <c r="D32" s="148"/>
      <c r="E32" s="157"/>
      <c r="F32" s="157"/>
      <c r="G32" s="157"/>
      <c r="H32" s="26"/>
      <c r="I32" s="290"/>
      <c r="J32" s="21">
        <f t="shared" si="0"/>
        <v>150</v>
      </c>
    </row>
    <row r="33" spans="1:10" ht="16.5" customHeight="1" hidden="1">
      <c r="A33" s="368">
        <v>160</v>
      </c>
      <c r="B33" s="27">
        <f>IF(ISTEXT(C33),COUNTIF(C$9:C33,"&lt;&gt;0"),"")</f>
      </c>
      <c r="C33" s="13">
        <f>VLOOKUP($A33,'Іменні заявки'!$A:$J,7,FALSE)</f>
        <v>0</v>
      </c>
      <c r="D33" s="148"/>
      <c r="E33" s="157"/>
      <c r="F33" s="157"/>
      <c r="G33" s="157"/>
      <c r="H33" s="26"/>
      <c r="I33" s="288"/>
      <c r="J33" s="21">
        <f t="shared" si="0"/>
        <v>160</v>
      </c>
    </row>
    <row r="34" spans="1:10" ht="16.5" customHeight="1" hidden="1">
      <c r="A34" s="12">
        <v>200</v>
      </c>
      <c r="B34" s="27">
        <f>IF(ISTEXT(C34),COUNTIF(C$9:C34,"&lt;&gt;0"),"")</f>
      </c>
      <c r="C34" s="13">
        <f>VLOOKUP($A34,'Іменні заявки'!$A:$J,7,FALSE)</f>
        <v>0</v>
      </c>
      <c r="D34" s="148"/>
      <c r="E34" s="289"/>
      <c r="F34" s="289"/>
      <c r="G34" s="289"/>
      <c r="H34" s="28"/>
      <c r="I34" s="290"/>
      <c r="J34" s="21">
        <f t="shared" si="0"/>
        <v>200</v>
      </c>
    </row>
    <row r="35" spans="1:10" ht="16.5" customHeight="1" hidden="1" thickBot="1">
      <c r="A35" s="12">
        <v>270</v>
      </c>
      <c r="B35" s="248">
        <f>IF(ISTEXT(C35),COUNTIF(C$9:C35,"&lt;&gt;0"),"")</f>
      </c>
      <c r="C35" s="249">
        <f>VLOOKUP($A35,'Іменні заявки'!$A:$J,7,FALSE)</f>
        <v>0</v>
      </c>
      <c r="D35" s="251"/>
      <c r="E35" s="292"/>
      <c r="F35" s="292"/>
      <c r="G35" s="292"/>
      <c r="H35" s="250"/>
      <c r="I35" s="293"/>
      <c r="J35" s="21">
        <f t="shared" si="0"/>
        <v>270</v>
      </c>
    </row>
    <row r="36" spans="1:10" ht="15" customHeight="1">
      <c r="A36" s="3"/>
      <c r="B36" s="252"/>
      <c r="C36" s="252"/>
      <c r="D36" s="294"/>
      <c r="E36" s="294"/>
      <c r="F36" s="294"/>
      <c r="G36" s="294"/>
      <c r="H36" s="294"/>
      <c r="I36" s="252"/>
      <c r="J36" s="3"/>
    </row>
    <row r="37" spans="1:10" ht="13.5" customHeight="1">
      <c r="A37" s="3"/>
      <c r="C37" s="96" t="str">
        <f>"Головний суддя _________________ "&amp;'Іменні заявки'!$C$6</f>
        <v>Головний суддя _________________ Гринчук В.В.</v>
      </c>
      <c r="J37" s="3"/>
    </row>
    <row r="38" spans="1:10" ht="7.5" customHeight="1">
      <c r="A38" s="3"/>
      <c r="B38" s="104"/>
      <c r="C38"/>
      <c r="D38" s="104"/>
      <c r="E38" s="104"/>
      <c r="F38" s="104"/>
      <c r="G38" s="104"/>
      <c r="H38" s="104"/>
      <c r="I38" s="104"/>
      <c r="J38" s="3"/>
    </row>
    <row r="39" spans="1:10" ht="15" customHeight="1">
      <c r="A39" s="3"/>
      <c r="B39" s="3"/>
      <c r="C39" s="96" t="str">
        <f>"Головний секретар _________________ "&amp;'Іменні заявки'!$C$7</f>
        <v>Головний секретар _________________ Кіретова І.О.</v>
      </c>
      <c r="D39" s="14"/>
      <c r="E39" s="14"/>
      <c r="F39" s="14"/>
      <c r="G39" s="14"/>
      <c r="H39" s="14"/>
      <c r="I39" s="3"/>
      <c r="J39" s="3"/>
    </row>
    <row r="40" spans="1:10" ht="15" customHeight="1">
      <c r="A40" s="3"/>
      <c r="B40" s="3"/>
      <c r="C40" s="3"/>
      <c r="D40" s="14"/>
      <c r="E40" s="14"/>
      <c r="F40" s="14"/>
      <c r="G40" s="14"/>
      <c r="H40" s="14"/>
      <c r="I40" s="3"/>
      <c r="J40" s="3"/>
    </row>
    <row r="41" spans="1:10" ht="15" customHeight="1">
      <c r="A41" s="3"/>
      <c r="B41" s="3"/>
      <c r="C41" s="3"/>
      <c r="D41" s="14"/>
      <c r="E41" s="14"/>
      <c r="F41" s="14"/>
      <c r="G41" s="14"/>
      <c r="H41" s="14"/>
      <c r="I41" s="3"/>
      <c r="J41" s="3"/>
    </row>
    <row r="42" spans="1:10" ht="15" customHeight="1">
      <c r="A42" s="3"/>
      <c r="B42" s="3"/>
      <c r="C42" s="3"/>
      <c r="D42" s="14"/>
      <c r="E42" s="14"/>
      <c r="F42" s="14"/>
      <c r="G42" s="14"/>
      <c r="H42" s="14"/>
      <c r="I42" s="3"/>
      <c r="J42" s="3"/>
    </row>
    <row r="43" spans="1:10" ht="15" customHeight="1">
      <c r="A43" s="3"/>
      <c r="B43" s="3"/>
      <c r="C43" s="3"/>
      <c r="D43" s="14"/>
      <c r="E43" s="14"/>
      <c r="F43" s="14"/>
      <c r="G43" s="14"/>
      <c r="H43" s="14"/>
      <c r="I43" s="3"/>
      <c r="J43" s="3"/>
    </row>
    <row r="44" spans="1:10" ht="15" customHeight="1">
      <c r="A44" s="3"/>
      <c r="B44" s="3"/>
      <c r="C44" s="3"/>
      <c r="D44" s="14"/>
      <c r="E44" s="14"/>
      <c r="F44" s="14"/>
      <c r="G44" s="14"/>
      <c r="H44" s="14"/>
      <c r="I44" s="3"/>
      <c r="J44" s="3"/>
    </row>
    <row r="45" spans="1:10" ht="15" customHeight="1">
      <c r="A45" s="3"/>
      <c r="B45" s="3"/>
      <c r="C45" s="3"/>
      <c r="D45" s="14"/>
      <c r="E45" s="14"/>
      <c r="F45" s="14"/>
      <c r="G45" s="14"/>
      <c r="H45" s="14"/>
      <c r="I45" s="3"/>
      <c r="J45" s="3"/>
    </row>
    <row r="46" spans="1:10" ht="15" customHeight="1">
      <c r="A46" s="3"/>
      <c r="B46" s="3"/>
      <c r="C46" s="3"/>
      <c r="D46" s="14"/>
      <c r="E46" s="14"/>
      <c r="F46" s="14"/>
      <c r="G46" s="14"/>
      <c r="H46" s="14"/>
      <c r="I46" s="3"/>
      <c r="J46" s="3"/>
    </row>
    <row r="47" spans="1:10" ht="15" customHeight="1">
      <c r="A47" s="3"/>
      <c r="B47" s="3"/>
      <c r="C47" s="3"/>
      <c r="D47" s="14"/>
      <c r="E47" s="14"/>
      <c r="F47" s="14"/>
      <c r="G47" s="14"/>
      <c r="H47" s="14"/>
      <c r="I47" s="3"/>
      <c r="J47" s="3"/>
    </row>
    <row r="48" spans="4:8" s="3" customFormat="1" ht="15" customHeight="1">
      <c r="D48" s="14"/>
      <c r="E48" s="14"/>
      <c r="F48" s="14"/>
      <c r="G48" s="14"/>
      <c r="H48" s="14"/>
    </row>
    <row r="49" spans="4:8" s="3" customFormat="1" ht="15" customHeight="1">
      <c r="D49" s="14"/>
      <c r="E49" s="14"/>
      <c r="F49" s="14"/>
      <c r="G49" s="14"/>
      <c r="H49" s="14"/>
    </row>
    <row r="50" spans="4:8" s="3" customFormat="1" ht="15" customHeight="1">
      <c r="D50" s="14"/>
      <c r="E50" s="14"/>
      <c r="F50" s="14"/>
      <c r="G50" s="14"/>
      <c r="H50" s="14"/>
    </row>
    <row r="51" spans="4:8" s="3" customFormat="1" ht="15" customHeight="1">
      <c r="D51" s="14"/>
      <c r="E51" s="14"/>
      <c r="F51" s="14"/>
      <c r="G51" s="14"/>
      <c r="H51" s="14"/>
    </row>
    <row r="52" spans="4:8" s="3" customFormat="1" ht="15" customHeight="1">
      <c r="D52" s="14"/>
      <c r="E52" s="14"/>
      <c r="F52" s="14"/>
      <c r="G52" s="14"/>
      <c r="H52" s="14"/>
    </row>
    <row r="53" spans="4:8" s="3" customFormat="1" ht="15" customHeight="1">
      <c r="D53" s="14"/>
      <c r="E53" s="14"/>
      <c r="F53" s="14"/>
      <c r="G53" s="14"/>
      <c r="H53" s="14"/>
    </row>
    <row r="54" spans="4:8" s="3" customFormat="1" ht="15" customHeight="1">
      <c r="D54" s="14"/>
      <c r="E54" s="14"/>
      <c r="F54" s="14"/>
      <c r="G54" s="14"/>
      <c r="H54" s="14"/>
    </row>
    <row r="55" spans="4:8" s="3" customFormat="1" ht="15" customHeight="1">
      <c r="D55" s="14"/>
      <c r="E55" s="14"/>
      <c r="F55" s="14"/>
      <c r="G55" s="14"/>
      <c r="H55" s="14"/>
    </row>
    <row r="56" spans="4:8" s="3" customFormat="1" ht="15" customHeight="1">
      <c r="D56" s="14"/>
      <c r="E56" s="14"/>
      <c r="F56" s="14"/>
      <c r="G56" s="14"/>
      <c r="H56" s="14"/>
    </row>
    <row r="57" spans="4:8" s="3" customFormat="1" ht="15" customHeight="1">
      <c r="D57" s="14"/>
      <c r="E57" s="14"/>
      <c r="F57" s="14"/>
      <c r="G57" s="14"/>
      <c r="H57" s="14"/>
    </row>
    <row r="58" spans="4:8" s="3" customFormat="1" ht="15" customHeight="1">
      <c r="D58" s="14"/>
      <c r="E58" s="14"/>
      <c r="F58" s="14"/>
      <c r="G58" s="14"/>
      <c r="H58" s="14"/>
    </row>
    <row r="59" spans="4:8" s="3" customFormat="1" ht="15" customHeight="1">
      <c r="D59" s="14"/>
      <c r="E59" s="14"/>
      <c r="F59" s="14"/>
      <c r="G59" s="14"/>
      <c r="H59" s="14"/>
    </row>
    <row r="60" spans="4:8" s="3" customFormat="1" ht="15" customHeight="1">
      <c r="D60" s="14"/>
      <c r="E60" s="14"/>
      <c r="F60" s="14"/>
      <c r="G60" s="14"/>
      <c r="H60" s="14"/>
    </row>
    <row r="61" spans="4:8" s="3" customFormat="1" ht="15" customHeight="1">
      <c r="D61" s="14"/>
      <c r="E61" s="14"/>
      <c r="F61" s="14"/>
      <c r="G61" s="14"/>
      <c r="H61" s="14"/>
    </row>
    <row r="62" spans="4:8" s="3" customFormat="1" ht="15" customHeight="1">
      <c r="D62" s="14"/>
      <c r="E62" s="14"/>
      <c r="F62" s="14"/>
      <c r="G62" s="14"/>
      <c r="H62" s="14"/>
    </row>
    <row r="63" spans="4:8" s="3" customFormat="1" ht="15" customHeight="1">
      <c r="D63" s="14"/>
      <c r="E63" s="14"/>
      <c r="F63" s="14"/>
      <c r="G63" s="14"/>
      <c r="H63" s="14"/>
    </row>
    <row r="64" spans="4:8" s="3" customFormat="1" ht="15" customHeight="1">
      <c r="D64" s="14"/>
      <c r="E64" s="14"/>
      <c r="F64" s="14"/>
      <c r="G64" s="14"/>
      <c r="H64" s="14"/>
    </row>
    <row r="65" spans="4:8" s="3" customFormat="1" ht="15" customHeight="1">
      <c r="D65" s="14"/>
      <c r="E65" s="14"/>
      <c r="F65" s="14"/>
      <c r="G65" s="14"/>
      <c r="H65" s="14"/>
    </row>
    <row r="66" spans="4:8" s="3" customFormat="1" ht="15" customHeight="1">
      <c r="D66" s="14"/>
      <c r="E66" s="14"/>
      <c r="F66" s="14"/>
      <c r="G66" s="14"/>
      <c r="H66" s="14"/>
    </row>
    <row r="67" spans="4:8" s="3" customFormat="1" ht="15" customHeight="1">
      <c r="D67" s="14"/>
      <c r="E67" s="14"/>
      <c r="F67" s="14"/>
      <c r="G67" s="14"/>
      <c r="H67" s="14"/>
    </row>
    <row r="68" spans="4:8" s="3" customFormat="1" ht="15" customHeight="1">
      <c r="D68" s="14"/>
      <c r="E68" s="14"/>
      <c r="F68" s="14"/>
      <c r="G68" s="14"/>
      <c r="H68" s="14"/>
    </row>
    <row r="69" spans="4:8" s="3" customFormat="1" ht="15" customHeight="1">
      <c r="D69" s="14"/>
      <c r="E69" s="14"/>
      <c r="F69" s="14"/>
      <c r="G69" s="14"/>
      <c r="H69" s="14"/>
    </row>
    <row r="70" spans="4:8" s="3" customFormat="1" ht="15" customHeight="1">
      <c r="D70" s="14"/>
      <c r="E70" s="14"/>
      <c r="F70" s="14"/>
      <c r="G70" s="14"/>
      <c r="H70" s="14"/>
    </row>
    <row r="71" spans="4:8" s="3" customFormat="1" ht="15" customHeight="1">
      <c r="D71" s="14"/>
      <c r="E71" s="14"/>
      <c r="F71" s="14"/>
      <c r="G71" s="14"/>
      <c r="H71" s="14"/>
    </row>
    <row r="72" spans="4:8" s="3" customFormat="1" ht="15" customHeight="1">
      <c r="D72" s="14"/>
      <c r="E72" s="14"/>
      <c r="F72" s="14"/>
      <c r="G72" s="14"/>
      <c r="H72" s="14"/>
    </row>
    <row r="73" spans="4:8" s="3" customFormat="1" ht="15" customHeight="1">
      <c r="D73" s="14"/>
      <c r="E73" s="14"/>
      <c r="F73" s="14"/>
      <c r="G73" s="14"/>
      <c r="H73" s="14"/>
    </row>
    <row r="74" spans="4:8" s="3" customFormat="1" ht="15" customHeight="1">
      <c r="D74" s="14"/>
      <c r="E74" s="14"/>
      <c r="F74" s="14"/>
      <c r="G74" s="14"/>
      <c r="H74" s="14"/>
    </row>
    <row r="75" spans="4:8" s="3" customFormat="1" ht="15" customHeight="1">
      <c r="D75" s="14"/>
      <c r="E75" s="14"/>
      <c r="F75" s="14"/>
      <c r="G75" s="14"/>
      <c r="H75" s="14"/>
    </row>
    <row r="76" spans="4:8" s="3" customFormat="1" ht="15" customHeight="1">
      <c r="D76" s="14"/>
      <c r="E76" s="14"/>
      <c r="F76" s="14"/>
      <c r="G76" s="14"/>
      <c r="H76" s="14"/>
    </row>
    <row r="77" spans="4:8" s="3" customFormat="1" ht="15" customHeight="1">
      <c r="D77" s="14"/>
      <c r="E77" s="14"/>
      <c r="F77" s="14"/>
      <c r="G77" s="14"/>
      <c r="H77" s="14"/>
    </row>
    <row r="78" spans="4:8" s="3" customFormat="1" ht="15" customHeight="1">
      <c r="D78" s="14"/>
      <c r="E78" s="14"/>
      <c r="F78" s="14"/>
      <c r="G78" s="14"/>
      <c r="H78" s="14"/>
    </row>
    <row r="79" spans="4:8" s="3" customFormat="1" ht="15" customHeight="1">
      <c r="D79" s="14"/>
      <c r="E79" s="14"/>
      <c r="F79" s="14"/>
      <c r="G79" s="14"/>
      <c r="H79" s="14"/>
    </row>
    <row r="80" spans="4:8" s="3" customFormat="1" ht="15" customHeight="1">
      <c r="D80" s="14"/>
      <c r="E80" s="14"/>
      <c r="F80" s="14"/>
      <c r="G80" s="14"/>
      <c r="H80" s="14"/>
    </row>
    <row r="81" spans="4:8" s="3" customFormat="1" ht="15" customHeight="1">
      <c r="D81" s="14"/>
      <c r="E81" s="14"/>
      <c r="F81" s="14"/>
      <c r="G81" s="14"/>
      <c r="H81" s="14"/>
    </row>
    <row r="82" spans="4:8" s="3" customFormat="1" ht="15" customHeight="1">
      <c r="D82" s="14"/>
      <c r="E82" s="14"/>
      <c r="F82" s="14"/>
      <c r="G82" s="14"/>
      <c r="H82" s="14"/>
    </row>
    <row r="83" spans="4:8" s="3" customFormat="1" ht="15" customHeight="1">
      <c r="D83" s="14"/>
      <c r="E83" s="14"/>
      <c r="F83" s="14"/>
      <c r="G83" s="14"/>
      <c r="H83" s="14"/>
    </row>
    <row r="84" spans="4:8" s="3" customFormat="1" ht="15" customHeight="1">
      <c r="D84" s="14"/>
      <c r="E84" s="14"/>
      <c r="F84" s="14"/>
      <c r="G84" s="14"/>
      <c r="H84" s="14"/>
    </row>
    <row r="85" spans="4:8" s="3" customFormat="1" ht="15" customHeight="1">
      <c r="D85" s="14"/>
      <c r="E85" s="14"/>
      <c r="F85" s="14"/>
      <c r="G85" s="14"/>
      <c r="H85" s="14"/>
    </row>
    <row r="86" spans="4:8" s="3" customFormat="1" ht="15" customHeight="1">
      <c r="D86" s="14"/>
      <c r="E86" s="14"/>
      <c r="F86" s="14"/>
      <c r="G86" s="14"/>
      <c r="H86" s="14"/>
    </row>
    <row r="87" spans="4:8" s="3" customFormat="1" ht="15" customHeight="1">
      <c r="D87" s="14"/>
      <c r="E87" s="14"/>
      <c r="F87" s="14"/>
      <c r="G87" s="14"/>
      <c r="H87" s="14"/>
    </row>
    <row r="88" spans="4:8" s="3" customFormat="1" ht="15" customHeight="1">
      <c r="D88" s="14"/>
      <c r="E88" s="14"/>
      <c r="F88" s="14"/>
      <c r="G88" s="14"/>
      <c r="H88" s="14"/>
    </row>
    <row r="89" spans="4:8" s="3" customFormat="1" ht="15" customHeight="1">
      <c r="D89" s="14"/>
      <c r="E89" s="14"/>
      <c r="F89" s="14"/>
      <c r="G89" s="14"/>
      <c r="H89" s="14"/>
    </row>
    <row r="90" spans="4:8" s="3" customFormat="1" ht="15" customHeight="1">
      <c r="D90" s="14"/>
      <c r="E90" s="14"/>
      <c r="F90" s="14"/>
      <c r="G90" s="14"/>
      <c r="H90" s="14"/>
    </row>
    <row r="91" spans="4:8" s="3" customFormat="1" ht="15" customHeight="1">
      <c r="D91" s="14"/>
      <c r="E91" s="14"/>
      <c r="F91" s="14"/>
      <c r="G91" s="14"/>
      <c r="H91" s="14"/>
    </row>
    <row r="92" spans="4:8" s="3" customFormat="1" ht="15" customHeight="1">
      <c r="D92" s="14"/>
      <c r="E92" s="14"/>
      <c r="F92" s="14"/>
      <c r="G92" s="14"/>
      <c r="H92" s="14"/>
    </row>
    <row r="93" spans="4:8" s="3" customFormat="1" ht="15" customHeight="1">
      <c r="D93" s="14"/>
      <c r="E93" s="14"/>
      <c r="F93" s="14"/>
      <c r="G93" s="14"/>
      <c r="H93" s="14"/>
    </row>
    <row r="94" spans="4:8" s="3" customFormat="1" ht="15" customHeight="1">
      <c r="D94" s="14"/>
      <c r="E94" s="14"/>
      <c r="F94" s="14"/>
      <c r="G94" s="14"/>
      <c r="H94" s="14"/>
    </row>
    <row r="95" spans="4:8" s="3" customFormat="1" ht="15" customHeight="1">
      <c r="D95" s="14"/>
      <c r="E95" s="14"/>
      <c r="F95" s="14"/>
      <c r="G95" s="14"/>
      <c r="H95" s="14"/>
    </row>
    <row r="96" spans="4:8" s="3" customFormat="1" ht="15" customHeight="1">
      <c r="D96" s="14"/>
      <c r="E96" s="14"/>
      <c r="F96" s="14"/>
      <c r="G96" s="14"/>
      <c r="H96" s="14"/>
    </row>
    <row r="97" spans="4:8" s="3" customFormat="1" ht="15" customHeight="1">
      <c r="D97" s="14"/>
      <c r="E97" s="14"/>
      <c r="F97" s="14"/>
      <c r="G97" s="14"/>
      <c r="H97" s="14"/>
    </row>
    <row r="98" spans="4:8" s="3" customFormat="1" ht="15" customHeight="1">
      <c r="D98" s="14"/>
      <c r="E98" s="14"/>
      <c r="F98" s="14"/>
      <c r="G98" s="14"/>
      <c r="H98" s="14"/>
    </row>
    <row r="99" spans="4:8" s="3" customFormat="1" ht="15" customHeight="1">
      <c r="D99" s="14"/>
      <c r="E99" s="14"/>
      <c r="F99" s="14"/>
      <c r="G99" s="14"/>
      <c r="H99" s="14"/>
    </row>
    <row r="100" spans="4:8" s="3" customFormat="1" ht="15" customHeight="1">
      <c r="D100" s="14"/>
      <c r="E100" s="14"/>
      <c r="F100" s="14"/>
      <c r="G100" s="14"/>
      <c r="H100" s="14"/>
    </row>
    <row r="101" spans="4:8" s="3" customFormat="1" ht="15" customHeight="1">
      <c r="D101" s="14"/>
      <c r="E101" s="14"/>
      <c r="F101" s="14"/>
      <c r="G101" s="14"/>
      <c r="H101" s="14"/>
    </row>
    <row r="102" spans="4:8" s="3" customFormat="1" ht="15" customHeight="1">
      <c r="D102" s="14"/>
      <c r="E102" s="14"/>
      <c r="F102" s="14"/>
      <c r="G102" s="14"/>
      <c r="H102" s="14"/>
    </row>
    <row r="103" spans="4:8" s="3" customFormat="1" ht="15" customHeight="1">
      <c r="D103" s="14"/>
      <c r="E103" s="14"/>
      <c r="F103" s="14"/>
      <c r="G103" s="14"/>
      <c r="H103" s="14"/>
    </row>
    <row r="104" spans="4:8" s="3" customFormat="1" ht="15" customHeight="1">
      <c r="D104" s="14"/>
      <c r="E104" s="14"/>
      <c r="F104" s="14"/>
      <c r="G104" s="14"/>
      <c r="H104" s="14"/>
    </row>
    <row r="105" spans="4:8" s="3" customFormat="1" ht="15" customHeight="1">
      <c r="D105" s="14"/>
      <c r="E105" s="14"/>
      <c r="F105" s="14"/>
      <c r="G105" s="14"/>
      <c r="H105" s="14"/>
    </row>
    <row r="106" spans="4:8" s="3" customFormat="1" ht="15" customHeight="1">
      <c r="D106" s="14"/>
      <c r="E106" s="14"/>
      <c r="F106" s="14"/>
      <c r="G106" s="14"/>
      <c r="H106" s="14"/>
    </row>
    <row r="107" spans="4:8" s="3" customFormat="1" ht="15" customHeight="1">
      <c r="D107" s="14"/>
      <c r="E107" s="14"/>
      <c r="F107" s="14"/>
      <c r="G107" s="14"/>
      <c r="H107" s="14"/>
    </row>
    <row r="108" spans="4:8" s="3" customFormat="1" ht="15" customHeight="1">
      <c r="D108" s="14"/>
      <c r="E108" s="14"/>
      <c r="F108" s="14"/>
      <c r="G108" s="14"/>
      <c r="H108" s="14"/>
    </row>
    <row r="109" spans="4:8" s="3" customFormat="1" ht="15" customHeight="1">
      <c r="D109" s="14"/>
      <c r="E109" s="14"/>
      <c r="F109" s="14"/>
      <c r="G109" s="14"/>
      <c r="H109" s="14"/>
    </row>
    <row r="110" spans="4:8" s="3" customFormat="1" ht="15" customHeight="1">
      <c r="D110" s="14"/>
      <c r="E110" s="14"/>
      <c r="F110" s="14"/>
      <c r="G110" s="14"/>
      <c r="H110" s="14"/>
    </row>
    <row r="111" spans="4:8" s="3" customFormat="1" ht="15" customHeight="1">
      <c r="D111" s="14"/>
      <c r="E111" s="14"/>
      <c r="F111" s="14"/>
      <c r="G111" s="14"/>
      <c r="H111" s="14"/>
    </row>
    <row r="112" spans="4:8" s="3" customFormat="1" ht="15" customHeight="1">
      <c r="D112" s="14"/>
      <c r="E112" s="14"/>
      <c r="F112" s="14"/>
      <c r="G112" s="14"/>
      <c r="H112" s="14"/>
    </row>
    <row r="113" spans="4:8" s="3" customFormat="1" ht="15" customHeight="1">
      <c r="D113" s="14"/>
      <c r="E113" s="14"/>
      <c r="F113" s="14"/>
      <c r="G113" s="14"/>
      <c r="H113" s="14"/>
    </row>
    <row r="114" spans="4:8" s="3" customFormat="1" ht="15" customHeight="1">
      <c r="D114" s="14"/>
      <c r="E114" s="14"/>
      <c r="F114" s="14"/>
      <c r="G114" s="14"/>
      <c r="H114" s="14"/>
    </row>
    <row r="115" spans="4:8" s="3" customFormat="1" ht="15" customHeight="1">
      <c r="D115" s="14"/>
      <c r="E115" s="14"/>
      <c r="F115" s="14"/>
      <c r="G115" s="14"/>
      <c r="H115" s="14"/>
    </row>
    <row r="116" spans="4:8" s="3" customFormat="1" ht="15" customHeight="1">
      <c r="D116" s="14"/>
      <c r="E116" s="14"/>
      <c r="F116" s="14"/>
      <c r="G116" s="14"/>
      <c r="H116" s="14"/>
    </row>
    <row r="117" spans="4:8" s="3" customFormat="1" ht="15" customHeight="1">
      <c r="D117" s="14"/>
      <c r="E117" s="14"/>
      <c r="F117" s="14"/>
      <c r="G117" s="14"/>
      <c r="H117" s="14"/>
    </row>
    <row r="118" spans="4:8" s="3" customFormat="1" ht="15" customHeight="1">
      <c r="D118" s="14"/>
      <c r="E118" s="14"/>
      <c r="F118" s="14"/>
      <c r="G118" s="14"/>
      <c r="H118" s="14"/>
    </row>
    <row r="119" spans="4:8" s="3" customFormat="1" ht="15" customHeight="1">
      <c r="D119" s="14"/>
      <c r="E119" s="14"/>
      <c r="F119" s="14"/>
      <c r="G119" s="14"/>
      <c r="H119" s="14"/>
    </row>
    <row r="120" spans="4:8" s="3" customFormat="1" ht="15" customHeight="1">
      <c r="D120" s="14"/>
      <c r="E120" s="14"/>
      <c r="F120" s="14"/>
      <c r="G120" s="14"/>
      <c r="H120" s="14"/>
    </row>
    <row r="121" spans="4:8" s="3" customFormat="1" ht="15" customHeight="1">
      <c r="D121" s="14"/>
      <c r="E121" s="14"/>
      <c r="F121" s="14"/>
      <c r="G121" s="14"/>
      <c r="H121" s="14"/>
    </row>
    <row r="122" spans="4:8" s="3" customFormat="1" ht="15" customHeight="1">
      <c r="D122" s="14"/>
      <c r="E122" s="14"/>
      <c r="F122" s="14"/>
      <c r="G122" s="14"/>
      <c r="H122" s="14"/>
    </row>
    <row r="123" spans="4:8" s="3" customFormat="1" ht="15" customHeight="1">
      <c r="D123" s="14"/>
      <c r="E123" s="14"/>
      <c r="F123" s="14"/>
      <c r="G123" s="14"/>
      <c r="H123" s="14"/>
    </row>
    <row r="124" spans="4:8" s="3" customFormat="1" ht="15" customHeight="1">
      <c r="D124" s="14"/>
      <c r="E124" s="14"/>
      <c r="F124" s="14"/>
      <c r="G124" s="14"/>
      <c r="H124" s="14"/>
    </row>
    <row r="125" spans="4:8" s="3" customFormat="1" ht="15" customHeight="1">
      <c r="D125" s="14"/>
      <c r="E125" s="14"/>
      <c r="F125" s="14"/>
      <c r="G125" s="14"/>
      <c r="H125" s="14"/>
    </row>
    <row r="126" spans="4:8" s="3" customFormat="1" ht="15" customHeight="1">
      <c r="D126" s="14"/>
      <c r="E126" s="14"/>
      <c r="F126" s="14"/>
      <c r="G126" s="14"/>
      <c r="H126" s="14"/>
    </row>
    <row r="127" spans="4:8" s="3" customFormat="1" ht="15" customHeight="1">
      <c r="D127" s="14"/>
      <c r="E127" s="14"/>
      <c r="F127" s="14"/>
      <c r="G127" s="14"/>
      <c r="H127" s="14"/>
    </row>
    <row r="128" spans="4:8" s="3" customFormat="1" ht="15" customHeight="1">
      <c r="D128" s="14"/>
      <c r="E128" s="14"/>
      <c r="F128" s="14"/>
      <c r="G128" s="14"/>
      <c r="H128" s="14"/>
    </row>
    <row r="129" spans="4:8" s="3" customFormat="1" ht="15" customHeight="1">
      <c r="D129" s="14"/>
      <c r="E129" s="14"/>
      <c r="F129" s="14"/>
      <c r="G129" s="14"/>
      <c r="H129" s="14"/>
    </row>
    <row r="130" spans="4:8" s="3" customFormat="1" ht="15" customHeight="1">
      <c r="D130" s="14"/>
      <c r="E130" s="14"/>
      <c r="F130" s="14"/>
      <c r="G130" s="14"/>
      <c r="H130" s="14"/>
    </row>
    <row r="131" spans="4:8" s="3" customFormat="1" ht="15" customHeight="1">
      <c r="D131" s="14"/>
      <c r="E131" s="14"/>
      <c r="F131" s="14"/>
      <c r="G131" s="14"/>
      <c r="H131" s="14"/>
    </row>
    <row r="132" spans="4:8" s="3" customFormat="1" ht="15" customHeight="1">
      <c r="D132" s="14"/>
      <c r="E132" s="14"/>
      <c r="F132" s="14"/>
      <c r="G132" s="14"/>
      <c r="H132" s="14"/>
    </row>
    <row r="133" spans="4:8" s="3" customFormat="1" ht="15" customHeight="1">
      <c r="D133" s="14"/>
      <c r="E133" s="14"/>
      <c r="F133" s="14"/>
      <c r="G133" s="14"/>
      <c r="H133" s="14"/>
    </row>
    <row r="134" spans="4:8" s="3" customFormat="1" ht="15" customHeight="1">
      <c r="D134" s="14"/>
      <c r="E134" s="14"/>
      <c r="F134" s="14"/>
      <c r="G134" s="14"/>
      <c r="H134" s="14"/>
    </row>
    <row r="135" spans="4:8" s="3" customFormat="1" ht="15" customHeight="1">
      <c r="D135" s="14"/>
      <c r="E135" s="14"/>
      <c r="F135" s="14"/>
      <c r="G135" s="14"/>
      <c r="H135" s="14"/>
    </row>
    <row r="136" spans="4:8" s="3" customFormat="1" ht="15" customHeight="1">
      <c r="D136" s="14"/>
      <c r="E136" s="14"/>
      <c r="F136" s="14"/>
      <c r="G136" s="14"/>
      <c r="H136" s="14"/>
    </row>
    <row r="137" spans="4:8" s="3" customFormat="1" ht="15" customHeight="1">
      <c r="D137" s="14"/>
      <c r="E137" s="14"/>
      <c r="F137" s="14"/>
      <c r="G137" s="14"/>
      <c r="H137" s="14"/>
    </row>
    <row r="138" spans="4:8" s="3" customFormat="1" ht="15" customHeight="1">
      <c r="D138" s="14"/>
      <c r="E138" s="14"/>
      <c r="F138" s="14"/>
      <c r="G138" s="14"/>
      <c r="H138" s="14"/>
    </row>
    <row r="139" spans="4:8" s="3" customFormat="1" ht="15" customHeight="1">
      <c r="D139" s="14"/>
      <c r="E139" s="14"/>
      <c r="F139" s="14"/>
      <c r="G139" s="14"/>
      <c r="H139" s="14"/>
    </row>
    <row r="140" spans="4:8" s="3" customFormat="1" ht="15" customHeight="1">
      <c r="D140" s="14"/>
      <c r="E140" s="14"/>
      <c r="F140" s="14"/>
      <c r="G140" s="14"/>
      <c r="H140" s="14"/>
    </row>
    <row r="141" spans="4:8" s="3" customFormat="1" ht="15" customHeight="1">
      <c r="D141" s="14"/>
      <c r="E141" s="14"/>
      <c r="F141" s="14"/>
      <c r="G141" s="14"/>
      <c r="H141" s="14"/>
    </row>
    <row r="142" spans="4:8" s="3" customFormat="1" ht="15" customHeight="1">
      <c r="D142" s="14"/>
      <c r="E142" s="14"/>
      <c r="F142" s="14"/>
      <c r="G142" s="14"/>
      <c r="H142" s="14"/>
    </row>
    <row r="143" spans="4:8" s="3" customFormat="1" ht="15" customHeight="1">
      <c r="D143" s="14"/>
      <c r="E143" s="14"/>
      <c r="F143" s="14"/>
      <c r="G143" s="14"/>
      <c r="H143" s="14"/>
    </row>
    <row r="144" spans="4:8" s="3" customFormat="1" ht="15" customHeight="1">
      <c r="D144" s="14"/>
      <c r="E144" s="14"/>
      <c r="F144" s="14"/>
      <c r="G144" s="14"/>
      <c r="H144" s="14"/>
    </row>
    <row r="145" spans="4:8" s="3" customFormat="1" ht="15" customHeight="1">
      <c r="D145" s="14"/>
      <c r="E145" s="14"/>
      <c r="F145" s="14"/>
      <c r="G145" s="14"/>
      <c r="H145" s="14"/>
    </row>
    <row r="146" spans="4:8" s="3" customFormat="1" ht="15" customHeight="1">
      <c r="D146" s="14"/>
      <c r="E146" s="14"/>
      <c r="F146" s="14"/>
      <c r="G146" s="14"/>
      <c r="H146" s="14"/>
    </row>
    <row r="147" spans="4:8" s="3" customFormat="1" ht="15" customHeight="1">
      <c r="D147" s="14"/>
      <c r="E147" s="14"/>
      <c r="F147" s="14"/>
      <c r="G147" s="14"/>
      <c r="H147" s="14"/>
    </row>
    <row r="148" spans="4:8" s="3" customFormat="1" ht="15" customHeight="1">
      <c r="D148" s="14"/>
      <c r="E148" s="14"/>
      <c r="F148" s="14"/>
      <c r="G148" s="14"/>
      <c r="H148" s="14"/>
    </row>
    <row r="149" spans="4:8" s="3" customFormat="1" ht="15" customHeight="1">
      <c r="D149" s="14"/>
      <c r="E149" s="14"/>
      <c r="F149" s="14"/>
      <c r="G149" s="14"/>
      <c r="H149" s="14"/>
    </row>
    <row r="150" spans="4:8" s="3" customFormat="1" ht="15" customHeight="1">
      <c r="D150" s="14"/>
      <c r="E150" s="14"/>
      <c r="F150" s="14"/>
      <c r="G150" s="14"/>
      <c r="H150" s="14"/>
    </row>
    <row r="151" spans="4:8" s="3" customFormat="1" ht="15" customHeight="1">
      <c r="D151" s="14"/>
      <c r="E151" s="14"/>
      <c r="F151" s="14"/>
      <c r="G151" s="14"/>
      <c r="H151" s="14"/>
    </row>
    <row r="152" spans="4:8" s="3" customFormat="1" ht="15" customHeight="1">
      <c r="D152" s="14"/>
      <c r="E152" s="14"/>
      <c r="F152" s="14"/>
      <c r="G152" s="14"/>
      <c r="H152" s="14"/>
    </row>
    <row r="153" spans="4:8" s="3" customFormat="1" ht="15" customHeight="1">
      <c r="D153" s="14"/>
      <c r="E153" s="14"/>
      <c r="F153" s="14"/>
      <c r="G153" s="14"/>
      <c r="H153" s="14"/>
    </row>
    <row r="154" spans="4:8" s="3" customFormat="1" ht="15" customHeight="1">
      <c r="D154" s="14"/>
      <c r="E154" s="14"/>
      <c r="F154" s="14"/>
      <c r="G154" s="14"/>
      <c r="H154" s="14"/>
    </row>
    <row r="155" spans="4:8" s="3" customFormat="1" ht="15" customHeight="1">
      <c r="D155" s="14"/>
      <c r="E155" s="14"/>
      <c r="F155" s="14"/>
      <c r="G155" s="14"/>
      <c r="H155" s="14"/>
    </row>
    <row r="156" spans="4:8" s="3" customFormat="1" ht="15" customHeight="1">
      <c r="D156" s="14"/>
      <c r="E156" s="14"/>
      <c r="F156" s="14"/>
      <c r="G156" s="14"/>
      <c r="H156" s="14"/>
    </row>
    <row r="157" spans="4:8" s="3" customFormat="1" ht="15" customHeight="1">
      <c r="D157" s="14"/>
      <c r="E157" s="14"/>
      <c r="F157" s="14"/>
      <c r="G157" s="14"/>
      <c r="H157" s="14"/>
    </row>
    <row r="158" spans="4:8" s="3" customFormat="1" ht="15" customHeight="1">
      <c r="D158" s="14"/>
      <c r="E158" s="14"/>
      <c r="F158" s="14"/>
      <c r="G158" s="14"/>
      <c r="H158" s="14"/>
    </row>
    <row r="159" spans="4:8" s="3" customFormat="1" ht="15" customHeight="1">
      <c r="D159" s="14"/>
      <c r="E159" s="14"/>
      <c r="F159" s="14"/>
      <c r="G159" s="14"/>
      <c r="H159" s="14"/>
    </row>
    <row r="160" spans="4:8" s="3" customFormat="1" ht="15" customHeight="1">
      <c r="D160" s="14"/>
      <c r="E160" s="14"/>
      <c r="F160" s="14"/>
      <c r="G160" s="14"/>
      <c r="H160" s="14"/>
    </row>
    <row r="161" spans="4:8" s="3" customFormat="1" ht="15" customHeight="1">
      <c r="D161" s="14"/>
      <c r="E161" s="14"/>
      <c r="F161" s="14"/>
      <c r="G161" s="14"/>
      <c r="H161" s="14"/>
    </row>
    <row r="162" spans="4:8" s="3" customFormat="1" ht="15" customHeight="1">
      <c r="D162" s="14"/>
      <c r="E162" s="14"/>
      <c r="F162" s="14"/>
      <c r="G162" s="14"/>
      <c r="H162" s="14"/>
    </row>
    <row r="163" spans="4:8" s="3" customFormat="1" ht="15" customHeight="1">
      <c r="D163" s="14"/>
      <c r="E163" s="14"/>
      <c r="F163" s="14"/>
      <c r="G163" s="14"/>
      <c r="H163" s="14"/>
    </row>
    <row r="164" spans="4:8" s="3" customFormat="1" ht="15" customHeight="1">
      <c r="D164" s="14"/>
      <c r="E164" s="14"/>
      <c r="F164" s="14"/>
      <c r="G164" s="14"/>
      <c r="H164" s="14"/>
    </row>
    <row r="165" spans="4:8" s="3" customFormat="1" ht="15" customHeight="1">
      <c r="D165" s="14"/>
      <c r="E165" s="14"/>
      <c r="F165" s="14"/>
      <c r="G165" s="14"/>
      <c r="H165" s="14"/>
    </row>
    <row r="166" spans="4:8" s="3" customFormat="1" ht="15" customHeight="1">
      <c r="D166" s="14"/>
      <c r="E166" s="14"/>
      <c r="F166" s="14"/>
      <c r="G166" s="14"/>
      <c r="H166" s="14"/>
    </row>
    <row r="167" spans="4:8" s="3" customFormat="1" ht="15" customHeight="1">
      <c r="D167" s="14"/>
      <c r="E167" s="14"/>
      <c r="F167" s="14"/>
      <c r="G167" s="14"/>
      <c r="H167" s="14"/>
    </row>
    <row r="168" spans="4:8" s="3" customFormat="1" ht="15" customHeight="1">
      <c r="D168" s="14"/>
      <c r="E168" s="14"/>
      <c r="F168" s="14"/>
      <c r="G168" s="14"/>
      <c r="H168" s="14"/>
    </row>
    <row r="169" spans="4:8" s="3" customFormat="1" ht="15" customHeight="1">
      <c r="D169" s="14"/>
      <c r="E169" s="14"/>
      <c r="F169" s="14"/>
      <c r="G169" s="14"/>
      <c r="H169" s="14"/>
    </row>
    <row r="170" spans="4:8" s="3" customFormat="1" ht="15" customHeight="1">
      <c r="D170" s="14"/>
      <c r="E170" s="14"/>
      <c r="F170" s="14"/>
      <c r="G170" s="14"/>
      <c r="H170" s="14"/>
    </row>
    <row r="171" spans="4:8" s="3" customFormat="1" ht="15" customHeight="1">
      <c r="D171" s="14"/>
      <c r="E171" s="14"/>
      <c r="F171" s="14"/>
      <c r="G171" s="14"/>
      <c r="H171" s="14"/>
    </row>
    <row r="172" spans="4:8" s="3" customFormat="1" ht="15" customHeight="1">
      <c r="D172" s="14"/>
      <c r="E172" s="14"/>
      <c r="F172" s="14"/>
      <c r="G172" s="14"/>
      <c r="H172" s="14"/>
    </row>
    <row r="173" spans="4:8" s="3" customFormat="1" ht="15" customHeight="1">
      <c r="D173" s="14"/>
      <c r="E173" s="14"/>
      <c r="F173" s="14"/>
      <c r="G173" s="14"/>
      <c r="H173" s="14"/>
    </row>
    <row r="174" spans="4:8" s="3" customFormat="1" ht="15" customHeight="1">
      <c r="D174" s="14"/>
      <c r="E174" s="14"/>
      <c r="F174" s="14"/>
      <c r="G174" s="14"/>
      <c r="H174" s="14"/>
    </row>
    <row r="175" spans="4:8" s="3" customFormat="1" ht="15" customHeight="1">
      <c r="D175" s="14"/>
      <c r="E175" s="14"/>
      <c r="F175" s="14"/>
      <c r="G175" s="14"/>
      <c r="H175" s="14"/>
    </row>
    <row r="176" spans="4:8" s="3" customFormat="1" ht="15" customHeight="1">
      <c r="D176" s="14"/>
      <c r="E176" s="14"/>
      <c r="F176" s="14"/>
      <c r="G176" s="14"/>
      <c r="H176" s="14"/>
    </row>
    <row r="177" spans="4:8" s="3" customFormat="1" ht="15" customHeight="1">
      <c r="D177" s="14"/>
      <c r="E177" s="14"/>
      <c r="F177" s="14"/>
      <c r="G177" s="14"/>
      <c r="H177" s="14"/>
    </row>
    <row r="178" spans="4:8" s="3" customFormat="1" ht="15" customHeight="1">
      <c r="D178" s="14"/>
      <c r="E178" s="14"/>
      <c r="F178" s="14"/>
      <c r="G178" s="14"/>
      <c r="H178" s="14"/>
    </row>
    <row r="179" spans="4:8" s="3" customFormat="1" ht="15" customHeight="1">
      <c r="D179" s="14"/>
      <c r="E179" s="14"/>
      <c r="F179" s="14"/>
      <c r="G179" s="14"/>
      <c r="H179" s="14"/>
    </row>
    <row r="180" spans="4:8" s="3" customFormat="1" ht="15" customHeight="1">
      <c r="D180" s="14"/>
      <c r="E180" s="14"/>
      <c r="F180" s="14"/>
      <c r="G180" s="14"/>
      <c r="H180" s="14"/>
    </row>
    <row r="181" ht="15" customHeight="1"/>
  </sheetData>
  <sheetProtection/>
  <mergeCells count="5">
    <mergeCell ref="B1:I1"/>
    <mergeCell ref="B2:I2"/>
    <mergeCell ref="B3:I3"/>
    <mergeCell ref="B4:I4"/>
    <mergeCell ref="B6:I6"/>
  </mergeCells>
  <printOptions horizontalCentered="1"/>
  <pageMargins left="0.984251968503937" right="0.3937007874015748" top="0.3937007874015748" bottom="0.3937007874015748" header="0.5118110236220472" footer="0.5118110236220472"/>
  <pageSetup fitToHeight="1" fitToWidth="1"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4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2" width="5.625" style="0" customWidth="1"/>
    <col min="3" max="3" width="3.625" style="50" customWidth="1"/>
    <col min="4" max="4" width="31.25390625" style="50" customWidth="1"/>
    <col min="5" max="5" width="8.625" style="51" customWidth="1"/>
    <col min="6" max="8" width="8.75390625" style="51" customWidth="1"/>
    <col min="9" max="9" width="2.25390625" style="51" customWidth="1"/>
    <col min="10" max="11" width="8.625" style="51" customWidth="1"/>
    <col min="12" max="12" width="8.625" style="51" hidden="1" customWidth="1"/>
    <col min="13" max="13" width="2.25390625" style="51" customWidth="1"/>
    <col min="14" max="15" width="8.625" style="51" customWidth="1"/>
    <col min="16" max="16" width="8.625" style="51" hidden="1" customWidth="1"/>
    <col min="17" max="17" width="2.25390625" style="51" customWidth="1"/>
    <col min="18" max="18" width="8.625" style="51" hidden="1" customWidth="1"/>
    <col min="19" max="19" width="8.625" style="51" customWidth="1"/>
    <col min="20" max="20" width="11.375" style="52" customWidth="1"/>
    <col min="21" max="21" width="11.375" style="0" customWidth="1"/>
    <col min="22" max="22" width="11.375" style="0" hidden="1" customWidth="1"/>
    <col min="23" max="23" width="11.375" style="0" customWidth="1"/>
    <col min="24" max="24" width="4.375" style="0" customWidth="1"/>
    <col min="25" max="26" width="13.00390625" style="0" customWidth="1"/>
  </cols>
  <sheetData>
    <row r="1" spans="3:25" ht="18" customHeight="1">
      <c r="C1" s="494" t="str">
        <f>'Іменні заявки'!C1</f>
        <v>Департамент освіти і науки Хмельницької обласної державної адміністрації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</row>
    <row r="2" spans="3:25" ht="18" customHeight="1">
      <c r="C2" s="495" t="str">
        <f>'Іменні заявки'!C2</f>
        <v>ХМЕЛЬНИЦЬКИЙ ОБЛАСНИЙ ЦЕНТР ТУРИЗМУ І КРАЄЗНАВСТВА УЧНІВСЬКОЇ МОЛОДІ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</row>
    <row r="3" spans="3:25" ht="18" customHeight="1">
      <c r="C3" s="496" t="str">
        <f>'Іменні заявки'!C3</f>
        <v>Чемпіонат області серед працівників закладів освіти з пішохідного туризму "Листопад-2015"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</row>
    <row r="4" spans="3:28" ht="5.25" customHeight="1"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AA4" s="47" t="s">
        <v>218</v>
      </c>
      <c r="AB4" s="48">
        <v>0.013888888888888888</v>
      </c>
    </row>
    <row r="5" spans="3:28" ht="12.75" customHeight="1">
      <c r="C5" s="371" t="s">
        <v>349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X5" s="98" t="str">
        <f>'Іменні заявки'!C4</f>
        <v>ур.Новики Старокостянтинівського р-ну</v>
      </c>
      <c r="Y5" s="98"/>
      <c r="AA5" s="47" t="s">
        <v>219</v>
      </c>
      <c r="AB5" s="48">
        <v>0.024305555555555556</v>
      </c>
    </row>
    <row r="6" spans="3:27" ht="12.75" customHeight="1">
      <c r="C6" s="497" t="s">
        <v>31</v>
      </c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AA6" s="49">
        <v>0.00034722222222222224</v>
      </c>
    </row>
    <row r="7" spans="3:25" ht="8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/>
      <c r="V7" s="1"/>
      <c r="W7" s="1"/>
      <c r="X7" s="1"/>
      <c r="Y7" s="1"/>
    </row>
    <row r="8" spans="3:21" ht="15" customHeight="1">
      <c r="C8" s="97" t="s">
        <v>140</v>
      </c>
      <c r="S8" s="321"/>
      <c r="T8" s="369" t="s">
        <v>125</v>
      </c>
      <c r="U8" s="370">
        <v>0.034722222222222224</v>
      </c>
    </row>
    <row r="9" ht="8.25" customHeight="1" thickBot="1"/>
    <row r="10" spans="1:25" ht="14.25" customHeight="1" thickBot="1">
      <c r="A10" s="498" t="s">
        <v>156</v>
      </c>
      <c r="B10" s="499" t="s">
        <v>157</v>
      </c>
      <c r="C10" s="500" t="s">
        <v>126</v>
      </c>
      <c r="D10" s="478" t="s">
        <v>40</v>
      </c>
      <c r="E10" s="502" t="s">
        <v>264</v>
      </c>
      <c r="F10" s="503"/>
      <c r="G10" s="503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5"/>
      <c r="S10" s="490" t="s">
        <v>77</v>
      </c>
      <c r="T10" s="492" t="s">
        <v>78</v>
      </c>
      <c r="U10" s="486" t="s">
        <v>127</v>
      </c>
      <c r="V10" s="488" t="s">
        <v>209</v>
      </c>
      <c r="W10" s="484" t="s">
        <v>29</v>
      </c>
      <c r="X10" s="482" t="s">
        <v>30</v>
      </c>
      <c r="Y10" s="480" t="s">
        <v>76</v>
      </c>
    </row>
    <row r="11" spans="1:25" ht="75.75" customHeight="1" thickBot="1">
      <c r="A11" s="498"/>
      <c r="B11" s="499"/>
      <c r="C11" s="501"/>
      <c r="D11" s="479"/>
      <c r="E11" s="322" t="s">
        <v>128</v>
      </c>
      <c r="F11" s="323" t="s">
        <v>165</v>
      </c>
      <c r="G11" s="323" t="s">
        <v>350</v>
      </c>
      <c r="H11" s="323" t="s">
        <v>351</v>
      </c>
      <c r="I11" s="324" t="s">
        <v>216</v>
      </c>
      <c r="J11" s="325" t="s">
        <v>352</v>
      </c>
      <c r="K11" s="325" t="s">
        <v>353</v>
      </c>
      <c r="L11" s="326"/>
      <c r="M11" s="324" t="s">
        <v>217</v>
      </c>
      <c r="N11" s="325" t="s">
        <v>354</v>
      </c>
      <c r="O11" s="323" t="s">
        <v>355</v>
      </c>
      <c r="P11" s="326"/>
      <c r="Q11" s="324" t="s">
        <v>129</v>
      </c>
      <c r="R11" s="327" t="s">
        <v>208</v>
      </c>
      <c r="S11" s="491"/>
      <c r="T11" s="493"/>
      <c r="U11" s="487"/>
      <c r="V11" s="489"/>
      <c r="W11" s="485"/>
      <c r="X11" s="483"/>
      <c r="Y11" s="481"/>
    </row>
    <row r="12" spans="1:27" ht="21.75" customHeight="1">
      <c r="A12" s="150">
        <v>250</v>
      </c>
      <c r="B12" s="151">
        <f>IF(ISNA(VLOOKUP(A12,'Проток.жеребк.'!$A:$H,4,FALSE)),"—",VLOOKUP(A12,'Проток.жеребк.'!$A:$H,4,FALSE))</f>
        <v>7</v>
      </c>
      <c r="C12" s="57">
        <f>IF(ISTEXT(D12),COUNTIF(D$12:D12,"&lt;&gt;0"),"")</f>
        <v>1</v>
      </c>
      <c r="D12" s="58" t="str">
        <f>VLOOKUP(A12,'Іменні заявки'!$A:$J,7,FALSE)</f>
        <v>м.Хмельницького</v>
      </c>
      <c r="E12" s="59">
        <v>0</v>
      </c>
      <c r="F12" s="328">
        <v>0</v>
      </c>
      <c r="G12" s="328">
        <v>1</v>
      </c>
      <c r="H12" s="328">
        <v>0</v>
      </c>
      <c r="I12" s="329"/>
      <c r="J12" s="330">
        <v>0</v>
      </c>
      <c r="K12" s="330">
        <v>0</v>
      </c>
      <c r="L12" s="328"/>
      <c r="M12" s="329"/>
      <c r="N12" s="330">
        <v>1</v>
      </c>
      <c r="O12" s="328">
        <v>0</v>
      </c>
      <c r="P12" s="330"/>
      <c r="Q12" s="331"/>
      <c r="R12" s="332"/>
      <c r="S12" s="108">
        <f aca="true" t="shared" si="0" ref="S12:S28">SUM(E12:H12,J12:L12,N12:P12,R12)</f>
        <v>2</v>
      </c>
      <c r="T12" s="105">
        <f aca="true" t="shared" si="1" ref="T12:T38">S12*$AA$6</f>
        <v>0.0006944444444444445</v>
      </c>
      <c r="U12" s="61">
        <v>0.0240625</v>
      </c>
      <c r="V12" s="62"/>
      <c r="W12" s="62">
        <f aca="true" t="shared" si="2" ref="W12:W38">SUM(T12:V12)</f>
        <v>0.024756944444444446</v>
      </c>
      <c r="X12" s="166">
        <v>1</v>
      </c>
      <c r="Y12" s="153">
        <f aca="true" t="shared" si="3" ref="Y12:Y38">IF($I12="скор. дист.",$Y$42,IF($M12="скор. дист.",$Y$43,""))</f>
      </c>
      <c r="AA12" s="150">
        <f aca="true" t="shared" si="4" ref="AA12:AA38">A12</f>
        <v>250</v>
      </c>
    </row>
    <row r="13" spans="1:27" ht="22.5" customHeight="1">
      <c r="A13" s="150">
        <v>190</v>
      </c>
      <c r="B13" s="151">
        <f>IF(ISNA(VLOOKUP(A13,'Проток.жеребк.'!$A:$H,4,FALSE)),"—",VLOOKUP(A13,'Проток.жеребк.'!$A:$H,4,FALSE))</f>
        <v>11</v>
      </c>
      <c r="C13" s="63">
        <f>IF(ISTEXT(D13),COUNTIF(D$12:D13,"&lt;&gt;0"),"")</f>
        <v>2</v>
      </c>
      <c r="D13" s="64" t="str">
        <f>VLOOKUP(A13,'Іменні заявки'!$A:$J,7,FALSE)</f>
        <v>Шепетівського р-ну</v>
      </c>
      <c r="E13" s="65">
        <v>0</v>
      </c>
      <c r="F13" s="333">
        <v>0</v>
      </c>
      <c r="G13" s="333">
        <v>0</v>
      </c>
      <c r="H13" s="333">
        <v>0</v>
      </c>
      <c r="I13" s="334"/>
      <c r="J13" s="335">
        <v>0</v>
      </c>
      <c r="K13" s="335">
        <v>1</v>
      </c>
      <c r="L13" s="333"/>
      <c r="M13" s="334"/>
      <c r="N13" s="335">
        <v>0</v>
      </c>
      <c r="O13" s="333">
        <v>6</v>
      </c>
      <c r="P13" s="335"/>
      <c r="Q13" s="336"/>
      <c r="R13" s="337"/>
      <c r="S13" s="106">
        <f t="shared" si="0"/>
        <v>7</v>
      </c>
      <c r="T13" s="107">
        <f t="shared" si="1"/>
        <v>0.0024305555555555556</v>
      </c>
      <c r="U13" s="67">
        <v>0.025486111111111112</v>
      </c>
      <c r="V13" s="68"/>
      <c r="W13" s="68">
        <f t="shared" si="2"/>
        <v>0.027916666666666666</v>
      </c>
      <c r="X13" s="167">
        <v>2</v>
      </c>
      <c r="Y13" s="154">
        <f t="shared" si="3"/>
      </c>
      <c r="AA13" s="150">
        <f t="shared" si="4"/>
        <v>190</v>
      </c>
    </row>
    <row r="14" spans="1:27" ht="22.5" customHeight="1">
      <c r="A14" s="150">
        <v>230</v>
      </c>
      <c r="B14" s="151">
        <f>IF(ISNA(VLOOKUP(A14,'Проток.жеребк.'!$A:$H,4,FALSE)),"—",VLOOKUP(A14,'Проток.жеребк.'!$A:$H,4,FALSE))</f>
        <v>17</v>
      </c>
      <c r="C14" s="63">
        <f>IF(ISTEXT(D14),COUNTIF(D$12:D14,"&lt;&gt;0"),"")</f>
        <v>3</v>
      </c>
      <c r="D14" s="64" t="str">
        <f>VLOOKUP(A14,'Іменні заявки'!$A:$J,7,FALSE)</f>
        <v>м.Славути</v>
      </c>
      <c r="E14" s="65">
        <v>0</v>
      </c>
      <c r="F14" s="333">
        <v>0</v>
      </c>
      <c r="G14" s="333">
        <v>3</v>
      </c>
      <c r="H14" s="333">
        <v>6</v>
      </c>
      <c r="I14" s="334"/>
      <c r="J14" s="335">
        <v>1</v>
      </c>
      <c r="K14" s="335">
        <v>3</v>
      </c>
      <c r="L14" s="333"/>
      <c r="M14" s="334"/>
      <c r="N14" s="335">
        <v>1</v>
      </c>
      <c r="O14" s="333">
        <v>0</v>
      </c>
      <c r="P14" s="335"/>
      <c r="Q14" s="336"/>
      <c r="R14" s="337"/>
      <c r="S14" s="106">
        <f t="shared" si="0"/>
        <v>14</v>
      </c>
      <c r="T14" s="107">
        <f t="shared" si="1"/>
        <v>0.004861111111111111</v>
      </c>
      <c r="U14" s="67">
        <v>0.02809027777777778</v>
      </c>
      <c r="V14" s="68"/>
      <c r="W14" s="68">
        <f t="shared" si="2"/>
        <v>0.03295138888888889</v>
      </c>
      <c r="X14" s="167">
        <v>3</v>
      </c>
      <c r="Y14" s="154">
        <f t="shared" si="3"/>
      </c>
      <c r="AA14" s="150">
        <f t="shared" si="4"/>
        <v>230</v>
      </c>
    </row>
    <row r="15" spans="1:27" ht="22.5" customHeight="1">
      <c r="A15" s="150">
        <v>210</v>
      </c>
      <c r="B15" s="151">
        <f>IF(ISNA(VLOOKUP(A15,'Проток.жеребк.'!$A:$H,4,FALSE)),"—",VLOOKUP(A15,'Проток.жеребк.'!$A:$H,4,FALSE))</f>
        <v>15</v>
      </c>
      <c r="C15" s="63">
        <f>IF(ISTEXT(D15),COUNTIF(D$12:D15,"&lt;&gt;0"),"")</f>
        <v>4</v>
      </c>
      <c r="D15" s="64" t="str">
        <f>VLOOKUP(A15,'Іменні заявки'!$A:$J,7,FALSE)</f>
        <v>м.Кам’янця-Подільського</v>
      </c>
      <c r="E15" s="65">
        <v>3</v>
      </c>
      <c r="F15" s="333">
        <v>0</v>
      </c>
      <c r="G15" s="333">
        <v>0</v>
      </c>
      <c r="H15" s="333">
        <v>0</v>
      </c>
      <c r="I15" s="334"/>
      <c r="J15" s="335">
        <v>0</v>
      </c>
      <c r="K15" s="335">
        <v>1</v>
      </c>
      <c r="L15" s="333"/>
      <c r="M15" s="334"/>
      <c r="N15" s="335">
        <v>6</v>
      </c>
      <c r="O15" s="333">
        <v>0</v>
      </c>
      <c r="P15" s="335"/>
      <c r="Q15" s="336"/>
      <c r="R15" s="337"/>
      <c r="S15" s="106">
        <f t="shared" si="0"/>
        <v>10</v>
      </c>
      <c r="T15" s="107">
        <f t="shared" si="1"/>
        <v>0.0034722222222222225</v>
      </c>
      <c r="U15" s="67">
        <v>0.029768518518518517</v>
      </c>
      <c r="V15" s="68"/>
      <c r="W15" s="68">
        <f t="shared" si="2"/>
        <v>0.03324074074074074</v>
      </c>
      <c r="X15" s="167">
        <v>4</v>
      </c>
      <c r="Y15" s="154">
        <f t="shared" si="3"/>
      </c>
      <c r="AA15" s="150">
        <f t="shared" si="4"/>
        <v>210</v>
      </c>
    </row>
    <row r="16" spans="1:27" ht="22.5" customHeight="1">
      <c r="A16" s="150">
        <v>220</v>
      </c>
      <c r="B16" s="151">
        <f>IF(ISNA(VLOOKUP(A16,'Проток.жеребк.'!$A:$H,4,FALSE)),"—",VLOOKUP(A16,'Проток.жеребк.'!$A:$H,4,FALSE))</f>
        <v>10</v>
      </c>
      <c r="C16" s="63">
        <f>IF(ISTEXT(D16),COUNTIF(D$12:D16,"&lt;&gt;0"),"")</f>
        <v>5</v>
      </c>
      <c r="D16" s="64" t="str">
        <f>VLOOKUP(A16,'Іменні заявки'!$A:$J,7,FALSE)</f>
        <v>м. Нетішина</v>
      </c>
      <c r="E16" s="65">
        <v>1</v>
      </c>
      <c r="F16" s="333">
        <v>3</v>
      </c>
      <c r="G16" s="333">
        <v>0</v>
      </c>
      <c r="H16" s="333">
        <v>3</v>
      </c>
      <c r="I16" s="334"/>
      <c r="J16" s="335">
        <v>3</v>
      </c>
      <c r="K16" s="335">
        <v>1</v>
      </c>
      <c r="L16" s="333"/>
      <c r="M16" s="334"/>
      <c r="N16" s="335">
        <v>3</v>
      </c>
      <c r="O16" s="333">
        <v>0</v>
      </c>
      <c r="P16" s="335"/>
      <c r="Q16" s="336"/>
      <c r="R16" s="337"/>
      <c r="S16" s="106">
        <f t="shared" si="0"/>
        <v>14</v>
      </c>
      <c r="T16" s="107">
        <f t="shared" si="1"/>
        <v>0.004861111111111111</v>
      </c>
      <c r="U16" s="67">
        <v>0.030891203703703702</v>
      </c>
      <c r="V16" s="68"/>
      <c r="W16" s="68">
        <f t="shared" si="2"/>
        <v>0.03575231481481481</v>
      </c>
      <c r="X16" s="167">
        <v>5</v>
      </c>
      <c r="Y16" s="154">
        <f t="shared" si="3"/>
      </c>
      <c r="AA16" s="150">
        <f t="shared" si="4"/>
        <v>220</v>
      </c>
    </row>
    <row r="17" spans="1:27" ht="22.5" customHeight="1">
      <c r="A17" s="150">
        <v>170</v>
      </c>
      <c r="B17" s="151">
        <f>IF(ISNA(VLOOKUP(A17,'Проток.жеребк.'!$A:$H,4,FALSE)),"—",VLOOKUP(A17,'Проток.жеребк.'!$A:$H,4,FALSE))</f>
        <v>9</v>
      </c>
      <c r="C17" s="63">
        <f>IF(ISTEXT(D17),COUNTIF(D$12:D17,"&lt;&gt;0"),"")</f>
        <v>6</v>
      </c>
      <c r="D17" s="64" t="str">
        <f>VLOOKUP(A17,'Іменні заявки'!$A:$J,7,FALSE)</f>
        <v>Хмельницького р-ну</v>
      </c>
      <c r="E17" s="65">
        <v>0</v>
      </c>
      <c r="F17" s="333">
        <v>0</v>
      </c>
      <c r="G17" s="333">
        <v>2</v>
      </c>
      <c r="H17" s="333">
        <v>10</v>
      </c>
      <c r="I17" s="334"/>
      <c r="J17" s="335">
        <v>1</v>
      </c>
      <c r="K17" s="335">
        <v>4</v>
      </c>
      <c r="L17" s="333"/>
      <c r="M17" s="334"/>
      <c r="N17" s="335">
        <v>51</v>
      </c>
      <c r="O17" s="333">
        <v>73</v>
      </c>
      <c r="P17" s="335"/>
      <c r="Q17" s="336"/>
      <c r="R17" s="337"/>
      <c r="S17" s="106">
        <f t="shared" si="0"/>
        <v>141</v>
      </c>
      <c r="T17" s="107">
        <f t="shared" si="1"/>
        <v>0.04895833333333333</v>
      </c>
      <c r="U17" s="67">
        <v>0.034722222222222224</v>
      </c>
      <c r="V17" s="68"/>
      <c r="W17" s="68">
        <f t="shared" si="2"/>
        <v>0.08368055555555556</v>
      </c>
      <c r="X17" s="167">
        <v>6</v>
      </c>
      <c r="Y17" s="154">
        <f t="shared" si="3"/>
      </c>
      <c r="AA17" s="150">
        <f t="shared" si="4"/>
        <v>170</v>
      </c>
    </row>
    <row r="18" spans="1:27" ht="22.5" customHeight="1">
      <c r="A18" s="150">
        <v>120</v>
      </c>
      <c r="B18" s="151">
        <f>IF(ISNA(VLOOKUP(A18,'Проток.жеребк.'!$A:$H,4,FALSE)),"—",VLOOKUP(A18,'Проток.жеребк.'!$A:$H,4,FALSE))</f>
        <v>1</v>
      </c>
      <c r="C18" s="63">
        <f>IF(ISTEXT(D18),COUNTIF(D$12:D18,"&lt;&gt;0"),"")</f>
        <v>7</v>
      </c>
      <c r="D18" s="64" t="str">
        <f>VLOOKUP(A18,'Іменні заявки'!$A:$J,7,FALSE)</f>
        <v>Полонського р-ну</v>
      </c>
      <c r="E18" s="65">
        <v>0</v>
      </c>
      <c r="F18" s="333">
        <v>0</v>
      </c>
      <c r="G18" s="333">
        <v>2</v>
      </c>
      <c r="H18" s="333">
        <v>6</v>
      </c>
      <c r="I18" s="334"/>
      <c r="J18" s="335">
        <v>23</v>
      </c>
      <c r="K18" s="335">
        <v>12</v>
      </c>
      <c r="L18" s="333"/>
      <c r="M18" s="334"/>
      <c r="N18" s="335">
        <v>40</v>
      </c>
      <c r="O18" s="333">
        <v>80</v>
      </c>
      <c r="P18" s="335"/>
      <c r="Q18" s="336"/>
      <c r="R18" s="337"/>
      <c r="S18" s="106">
        <f t="shared" si="0"/>
        <v>163</v>
      </c>
      <c r="T18" s="107">
        <f t="shared" si="1"/>
        <v>0.05659722222222222</v>
      </c>
      <c r="U18" s="67">
        <v>0.034722222222222224</v>
      </c>
      <c r="V18" s="68"/>
      <c r="W18" s="68">
        <f t="shared" si="2"/>
        <v>0.09131944444444445</v>
      </c>
      <c r="X18" s="167">
        <v>7</v>
      </c>
      <c r="Y18" s="154">
        <f t="shared" si="3"/>
      </c>
      <c r="AA18" s="150">
        <f t="shared" si="4"/>
        <v>120</v>
      </c>
    </row>
    <row r="19" spans="1:27" ht="22.5" customHeight="1">
      <c r="A19" s="150">
        <v>140</v>
      </c>
      <c r="B19" s="151">
        <f>IF(ISNA(VLOOKUP(A19,'Проток.жеребк.'!$A:$H,4,FALSE)),"—",VLOOKUP(A19,'Проток.жеребк.'!$A:$H,4,FALSE))</f>
        <v>3</v>
      </c>
      <c r="C19" s="63">
        <f>IF(ISTEXT(D19),COUNTIF(D$12:D19,"&lt;&gt;0"),"")</f>
        <v>8</v>
      </c>
      <c r="D19" s="64" t="str">
        <f>VLOOKUP(A19,'Іменні заявки'!$A:$J,7,FALSE)</f>
        <v>Старокостянтин. р-ну</v>
      </c>
      <c r="E19" s="65">
        <v>2</v>
      </c>
      <c r="F19" s="333">
        <v>0</v>
      </c>
      <c r="G19" s="333">
        <v>2</v>
      </c>
      <c r="H19" s="333">
        <v>0</v>
      </c>
      <c r="I19" s="334"/>
      <c r="J19" s="335">
        <v>17</v>
      </c>
      <c r="K19" s="335">
        <v>20</v>
      </c>
      <c r="L19" s="333"/>
      <c r="M19" s="334"/>
      <c r="N19" s="335">
        <v>61</v>
      </c>
      <c r="O19" s="333">
        <v>101</v>
      </c>
      <c r="P19" s="335"/>
      <c r="Q19" s="336"/>
      <c r="R19" s="337"/>
      <c r="S19" s="106">
        <f t="shared" si="0"/>
        <v>203</v>
      </c>
      <c r="T19" s="107">
        <f t="shared" si="1"/>
        <v>0.07048611111111111</v>
      </c>
      <c r="U19" s="67">
        <v>0.034722222222222224</v>
      </c>
      <c r="V19" s="68"/>
      <c r="W19" s="68">
        <f t="shared" si="2"/>
        <v>0.10520833333333333</v>
      </c>
      <c r="X19" s="167">
        <v>8</v>
      </c>
      <c r="Y19" s="154">
        <f t="shared" si="3"/>
      </c>
      <c r="AA19" s="150">
        <f t="shared" si="4"/>
        <v>140</v>
      </c>
    </row>
    <row r="20" spans="1:27" ht="22.5" customHeight="1">
      <c r="A20" s="150">
        <v>260</v>
      </c>
      <c r="B20" s="151">
        <f>IF(ISNA(VLOOKUP(A20,'Проток.жеребк.'!$A:$H,4,FALSE)),"—",VLOOKUP(A20,'Проток.жеребк.'!$A:$H,4,FALSE))</f>
        <v>6</v>
      </c>
      <c r="C20" s="63">
        <f>IF(ISTEXT(D20),COUNTIF(D$12:D20,"&lt;&gt;0"),"")</f>
        <v>9</v>
      </c>
      <c r="D20" s="64" t="str">
        <f>VLOOKUP(A20,'Іменні заявки'!$A:$J,7,FALSE)</f>
        <v>м.Шепетівки</v>
      </c>
      <c r="E20" s="65">
        <v>0</v>
      </c>
      <c r="F20" s="333">
        <v>0</v>
      </c>
      <c r="G20" s="333">
        <v>0</v>
      </c>
      <c r="H20" s="333">
        <v>3</v>
      </c>
      <c r="I20" s="334"/>
      <c r="J20" s="335">
        <v>0</v>
      </c>
      <c r="K20" s="335">
        <v>43</v>
      </c>
      <c r="L20" s="333"/>
      <c r="M20" s="334"/>
      <c r="N20" s="335">
        <v>140</v>
      </c>
      <c r="O20" s="333">
        <v>140</v>
      </c>
      <c r="P20" s="335"/>
      <c r="Q20" s="336"/>
      <c r="R20" s="337"/>
      <c r="S20" s="106">
        <f t="shared" si="0"/>
        <v>326</v>
      </c>
      <c r="T20" s="107">
        <f t="shared" si="1"/>
        <v>0.11319444444444444</v>
      </c>
      <c r="U20" s="67">
        <v>0.034722222222222224</v>
      </c>
      <c r="V20" s="68"/>
      <c r="W20" s="68">
        <f t="shared" si="2"/>
        <v>0.14791666666666667</v>
      </c>
      <c r="X20" s="167">
        <v>9</v>
      </c>
      <c r="Y20" s="154">
        <f t="shared" si="3"/>
      </c>
      <c r="AA20" s="150">
        <f t="shared" si="4"/>
        <v>260</v>
      </c>
    </row>
    <row r="21" spans="1:27" ht="22.5" customHeight="1">
      <c r="A21" s="150">
        <v>180</v>
      </c>
      <c r="B21" s="151">
        <f>IF(ISNA(VLOOKUP(A21,'Проток.жеребк.'!$A:$H,4,FALSE)),"—",VLOOKUP(A21,'Проток.жеребк.'!$A:$H,4,FALSE))</f>
        <v>14</v>
      </c>
      <c r="C21" s="63">
        <f>IF(ISTEXT(D21),COUNTIF(D$12:D21,"&lt;&gt;0"),"")</f>
        <v>10</v>
      </c>
      <c r="D21" s="64" t="str">
        <f>VLOOKUP(A21,'Іменні заявки'!$A:$J,7,FALSE)</f>
        <v>Чемеровецького р-ну</v>
      </c>
      <c r="E21" s="65">
        <v>12</v>
      </c>
      <c r="F21" s="333">
        <v>0</v>
      </c>
      <c r="G21" s="333">
        <v>4</v>
      </c>
      <c r="H21" s="333">
        <v>3</v>
      </c>
      <c r="I21" s="334"/>
      <c r="J21" s="335">
        <v>3</v>
      </c>
      <c r="K21" s="335">
        <v>48</v>
      </c>
      <c r="L21" s="333"/>
      <c r="M21" s="334"/>
      <c r="N21" s="335">
        <v>142</v>
      </c>
      <c r="O21" s="333">
        <v>140</v>
      </c>
      <c r="P21" s="335"/>
      <c r="Q21" s="336"/>
      <c r="R21" s="337"/>
      <c r="S21" s="106">
        <f t="shared" si="0"/>
        <v>352</v>
      </c>
      <c r="T21" s="107">
        <f t="shared" si="1"/>
        <v>0.12222222222222223</v>
      </c>
      <c r="U21" s="67">
        <v>0.034722222222222224</v>
      </c>
      <c r="V21" s="68"/>
      <c r="W21" s="68">
        <f t="shared" si="2"/>
        <v>0.15694444444444444</v>
      </c>
      <c r="X21" s="167">
        <v>10</v>
      </c>
      <c r="Y21" s="154">
        <f t="shared" si="3"/>
      </c>
      <c r="AA21" s="150">
        <f t="shared" si="4"/>
        <v>180</v>
      </c>
    </row>
    <row r="22" spans="1:27" ht="22.5" customHeight="1">
      <c r="A22" s="150">
        <v>50</v>
      </c>
      <c r="B22" s="151">
        <f>IF(ISNA(VLOOKUP(A22,'Проток.жеребк.'!$A:$H,4,FALSE)),"—",VLOOKUP(A22,'Проток.жеребк.'!$A:$H,4,FALSE))</f>
        <v>8</v>
      </c>
      <c r="C22" s="63">
        <f>IF(ISTEXT(D22),COUNTIF(D$12:D22,"&lt;&gt;0"),"")</f>
        <v>11</v>
      </c>
      <c r="D22" s="64" t="str">
        <f>VLOOKUP(A22,'Іменні заявки'!$A:$J,7,FALSE)</f>
        <v>Деражнянського р-ну</v>
      </c>
      <c r="E22" s="65">
        <v>0</v>
      </c>
      <c r="F22" s="333">
        <v>3</v>
      </c>
      <c r="G22" s="333">
        <v>9</v>
      </c>
      <c r="H22" s="333">
        <v>13</v>
      </c>
      <c r="I22" s="334"/>
      <c r="J22" s="335">
        <v>2</v>
      </c>
      <c r="K22" s="335">
        <v>91</v>
      </c>
      <c r="L22" s="333"/>
      <c r="M22" s="334"/>
      <c r="N22" s="335">
        <v>140</v>
      </c>
      <c r="O22" s="333">
        <v>140</v>
      </c>
      <c r="P22" s="335"/>
      <c r="Q22" s="336"/>
      <c r="R22" s="337"/>
      <c r="S22" s="106">
        <f t="shared" si="0"/>
        <v>398</v>
      </c>
      <c r="T22" s="107">
        <f t="shared" si="1"/>
        <v>0.13819444444444445</v>
      </c>
      <c r="U22" s="67">
        <v>0.034722222222222224</v>
      </c>
      <c r="V22" s="68"/>
      <c r="W22" s="68">
        <f t="shared" si="2"/>
        <v>0.17291666666666666</v>
      </c>
      <c r="X22" s="167">
        <v>11</v>
      </c>
      <c r="Y22" s="154">
        <f t="shared" si="3"/>
      </c>
      <c r="AA22" s="150">
        <f t="shared" si="4"/>
        <v>50</v>
      </c>
    </row>
    <row r="23" spans="1:27" ht="22.5" customHeight="1">
      <c r="A23" s="150">
        <v>240</v>
      </c>
      <c r="B23" s="151">
        <f>IF(ISNA(VLOOKUP(A23,'Проток.жеребк.'!$A:$H,4,FALSE)),"—",VLOOKUP(A23,'Проток.жеребк.'!$A:$H,4,FALSE))</f>
        <v>5</v>
      </c>
      <c r="C23" s="63">
        <f>IF(ISTEXT(D23),COUNTIF(D$12:D23,"&lt;&gt;0"),"")</f>
        <v>12</v>
      </c>
      <c r="D23" s="64" t="str">
        <f>VLOOKUP(A23,'Іменні заявки'!$A:$J,7,FALSE)</f>
        <v>м.Старокостянтинів</v>
      </c>
      <c r="E23" s="65">
        <v>6</v>
      </c>
      <c r="F23" s="333">
        <v>4</v>
      </c>
      <c r="G23" s="333">
        <v>5</v>
      </c>
      <c r="H23" s="333">
        <v>17</v>
      </c>
      <c r="I23" s="334"/>
      <c r="J23" s="335">
        <v>9</v>
      </c>
      <c r="K23" s="335">
        <v>80</v>
      </c>
      <c r="L23" s="333"/>
      <c r="M23" s="334"/>
      <c r="N23" s="335">
        <v>146</v>
      </c>
      <c r="O23" s="333">
        <v>140</v>
      </c>
      <c r="P23" s="335"/>
      <c r="Q23" s="336"/>
      <c r="R23" s="337"/>
      <c r="S23" s="106">
        <f t="shared" si="0"/>
        <v>407</v>
      </c>
      <c r="T23" s="107">
        <f t="shared" si="1"/>
        <v>0.14131944444444444</v>
      </c>
      <c r="U23" s="67">
        <v>0.034722222222222224</v>
      </c>
      <c r="V23" s="68"/>
      <c r="W23" s="68">
        <f t="shared" si="2"/>
        <v>0.17604166666666665</v>
      </c>
      <c r="X23" s="167">
        <v>12</v>
      </c>
      <c r="Y23" s="154">
        <f t="shared" si="3"/>
      </c>
      <c r="AA23" s="150">
        <f t="shared" si="4"/>
        <v>240</v>
      </c>
    </row>
    <row r="24" spans="1:27" ht="22.5" customHeight="1">
      <c r="A24" s="150">
        <v>90</v>
      </c>
      <c r="B24" s="151">
        <f>IF(ISNA(VLOOKUP(A24,'Проток.жеребк.'!$A:$H,4,FALSE)),"—",VLOOKUP(A24,'Проток.жеребк.'!$A:$H,4,FALSE))</f>
        <v>16</v>
      </c>
      <c r="C24" s="63">
        <f>IF(ISTEXT(D24),COUNTIF(D$12:D24,"&lt;&gt;0"),"")</f>
        <v>13</v>
      </c>
      <c r="D24" s="64" t="str">
        <f>VLOOKUP(A24,'Іменні заявки'!$A:$J,7,FALSE)</f>
        <v>Красилівського р-ну</v>
      </c>
      <c r="E24" s="65">
        <v>1</v>
      </c>
      <c r="F24" s="333">
        <v>5</v>
      </c>
      <c r="G24" s="333">
        <v>3</v>
      </c>
      <c r="H24" s="333">
        <v>16</v>
      </c>
      <c r="I24" s="334"/>
      <c r="J24" s="335">
        <v>43</v>
      </c>
      <c r="K24" s="335">
        <v>121</v>
      </c>
      <c r="L24" s="333"/>
      <c r="M24" s="334"/>
      <c r="N24" s="335">
        <v>140</v>
      </c>
      <c r="O24" s="333">
        <v>140</v>
      </c>
      <c r="P24" s="335"/>
      <c r="Q24" s="336"/>
      <c r="R24" s="337"/>
      <c r="S24" s="106">
        <f t="shared" si="0"/>
        <v>469</v>
      </c>
      <c r="T24" s="107">
        <f t="shared" si="1"/>
        <v>0.16284722222222223</v>
      </c>
      <c r="U24" s="67">
        <v>0.034722222222222224</v>
      </c>
      <c r="V24" s="68"/>
      <c r="W24" s="68">
        <f t="shared" si="2"/>
        <v>0.19756944444444446</v>
      </c>
      <c r="X24" s="167">
        <v>13</v>
      </c>
      <c r="Y24" s="154">
        <f t="shared" si="3"/>
      </c>
      <c r="AA24" s="150">
        <f t="shared" si="4"/>
        <v>90</v>
      </c>
    </row>
    <row r="25" spans="1:27" ht="22.5" customHeight="1">
      <c r="A25" s="150">
        <v>110</v>
      </c>
      <c r="B25" s="151">
        <f>IF(ISNA(VLOOKUP(A25,'Проток.жеребк.'!$A:$H,4,FALSE)),"—",VLOOKUP(A25,'Проток.жеребк.'!$A:$H,4,FALSE))</f>
        <v>2</v>
      </c>
      <c r="C25" s="63">
        <f>IF(ISTEXT(D25),COUNTIF(D$12:D25,"&lt;&gt;0"),"")</f>
        <v>14</v>
      </c>
      <c r="D25" s="64" t="str">
        <f>VLOOKUP(A25,'Іменні заявки'!$A:$J,7,FALSE)</f>
        <v>Новоушицького р-ну</v>
      </c>
      <c r="E25" s="65">
        <v>6</v>
      </c>
      <c r="F25" s="333">
        <v>6</v>
      </c>
      <c r="G25" s="333">
        <v>4</v>
      </c>
      <c r="H25" s="333">
        <v>14</v>
      </c>
      <c r="I25" s="334"/>
      <c r="J25" s="335">
        <v>36</v>
      </c>
      <c r="K25" s="335">
        <v>132</v>
      </c>
      <c r="L25" s="333"/>
      <c r="M25" s="334"/>
      <c r="N25" s="335">
        <v>140</v>
      </c>
      <c r="O25" s="333">
        <v>140</v>
      </c>
      <c r="P25" s="335"/>
      <c r="Q25" s="336"/>
      <c r="R25" s="337"/>
      <c r="S25" s="106">
        <f t="shared" si="0"/>
        <v>478</v>
      </c>
      <c r="T25" s="107">
        <f t="shared" si="1"/>
        <v>0.16597222222222222</v>
      </c>
      <c r="U25" s="67">
        <v>0.034722222222222224</v>
      </c>
      <c r="V25" s="68"/>
      <c r="W25" s="68">
        <f t="shared" si="2"/>
        <v>0.20069444444444445</v>
      </c>
      <c r="X25" s="167">
        <v>14</v>
      </c>
      <c r="Y25" s="154">
        <f t="shared" si="3"/>
      </c>
      <c r="AA25" s="150">
        <f t="shared" si="4"/>
        <v>110</v>
      </c>
    </row>
    <row r="26" spans="1:27" ht="22.5" customHeight="1">
      <c r="A26" s="150">
        <v>60</v>
      </c>
      <c r="B26" s="151">
        <f>IF(ISNA(VLOOKUP(A26,'Проток.жеребк.'!$A:$H,4,FALSE)),"—",VLOOKUP(A26,'Проток.жеребк.'!$A:$H,4,FALSE))</f>
        <v>4</v>
      </c>
      <c r="C26" s="63">
        <f>IF(ISTEXT(D26),COUNTIF(D$12:D26,"&lt;&gt;0"),"")</f>
        <v>15</v>
      </c>
      <c r="D26" s="64" t="str">
        <f>VLOOKUP(A26,'Іменні заявки'!$A:$J,7,FALSE)</f>
        <v>Дунаєвецького р-ну</v>
      </c>
      <c r="E26" s="65">
        <v>3</v>
      </c>
      <c r="F26" s="333">
        <v>6</v>
      </c>
      <c r="G26" s="333">
        <v>7</v>
      </c>
      <c r="H26" s="333">
        <v>43</v>
      </c>
      <c r="I26" s="334"/>
      <c r="J26" s="335">
        <v>140</v>
      </c>
      <c r="K26" s="335">
        <v>140</v>
      </c>
      <c r="L26" s="333"/>
      <c r="M26" s="334"/>
      <c r="N26" s="335">
        <v>140</v>
      </c>
      <c r="O26" s="333">
        <v>140</v>
      </c>
      <c r="P26" s="335"/>
      <c r="Q26" s="336"/>
      <c r="R26" s="337"/>
      <c r="S26" s="106">
        <f t="shared" si="0"/>
        <v>619</v>
      </c>
      <c r="T26" s="107">
        <f t="shared" si="1"/>
        <v>0.21493055555555557</v>
      </c>
      <c r="U26" s="67">
        <v>0.034722222222222224</v>
      </c>
      <c r="V26" s="68"/>
      <c r="W26" s="68">
        <f t="shared" si="2"/>
        <v>0.24965277777777778</v>
      </c>
      <c r="X26" s="167">
        <v>15</v>
      </c>
      <c r="Y26" s="154">
        <f t="shared" si="3"/>
      </c>
      <c r="AA26" s="150">
        <f t="shared" si="4"/>
        <v>60</v>
      </c>
    </row>
    <row r="27" spans="1:27" ht="22.5" customHeight="1">
      <c r="A27" s="150">
        <v>20</v>
      </c>
      <c r="B27" s="151">
        <f>IF(ISNA(VLOOKUP(A27,'Проток.жеребк.'!$A:$H,4,FALSE)),"—",VLOOKUP(A27,'Проток.жеребк.'!$A:$H,4,FALSE))</f>
        <v>13</v>
      </c>
      <c r="C27" s="63">
        <f>IF(ISTEXT(D27),COUNTIF(D$12:D27,"&lt;&gt;0"),"")</f>
        <v>16</v>
      </c>
      <c r="D27" s="64" t="str">
        <f>VLOOKUP(A27,'Іменні заявки'!$A:$J,7,FALSE)</f>
        <v>Віньковецького р-ну</v>
      </c>
      <c r="E27" s="65">
        <v>12</v>
      </c>
      <c r="F27" s="333">
        <v>4</v>
      </c>
      <c r="G27" s="333">
        <v>10</v>
      </c>
      <c r="H27" s="333">
        <v>65</v>
      </c>
      <c r="I27" s="334"/>
      <c r="J27" s="335">
        <v>140</v>
      </c>
      <c r="K27" s="335">
        <v>140</v>
      </c>
      <c r="L27" s="333"/>
      <c r="M27" s="334"/>
      <c r="N27" s="335">
        <v>140</v>
      </c>
      <c r="O27" s="333">
        <v>140</v>
      </c>
      <c r="P27" s="335"/>
      <c r="Q27" s="336"/>
      <c r="R27" s="337"/>
      <c r="S27" s="106">
        <f t="shared" si="0"/>
        <v>651</v>
      </c>
      <c r="T27" s="107">
        <f t="shared" si="1"/>
        <v>0.22604166666666667</v>
      </c>
      <c r="U27" s="67">
        <v>0.034722222222222224</v>
      </c>
      <c r="V27" s="68"/>
      <c r="W27" s="68">
        <f t="shared" si="2"/>
        <v>0.2607638888888889</v>
      </c>
      <c r="X27" s="167">
        <v>16</v>
      </c>
      <c r="Y27" s="154">
        <f t="shared" si="3"/>
      </c>
      <c r="AA27" s="150">
        <f t="shared" si="4"/>
        <v>20</v>
      </c>
    </row>
    <row r="28" spans="1:27" ht="22.5" customHeight="1" thickBot="1">
      <c r="A28" s="150">
        <v>10</v>
      </c>
      <c r="B28" s="151">
        <f>IF(ISNA(VLOOKUP(A28,'Проток.жеребк.'!$A:$H,4,FALSE)),"—",VLOOKUP(A28,'Проток.жеребк.'!$A:$H,4,FALSE))</f>
        <v>12</v>
      </c>
      <c r="C28" s="63">
        <f>IF(ISTEXT(D28),COUNTIF(D$12:D28,"&lt;&gt;0"),"")</f>
        <v>17</v>
      </c>
      <c r="D28" s="64" t="str">
        <f>VLOOKUP(A28,'Іменні заявки'!$A:$J,7,FALSE)</f>
        <v>Білогірського р-ну</v>
      </c>
      <c r="E28" s="65">
        <v>18</v>
      </c>
      <c r="F28" s="333">
        <v>31</v>
      </c>
      <c r="G28" s="333">
        <v>15</v>
      </c>
      <c r="H28" s="333">
        <v>140</v>
      </c>
      <c r="I28" s="334"/>
      <c r="J28" s="335">
        <v>140</v>
      </c>
      <c r="K28" s="335">
        <v>140</v>
      </c>
      <c r="L28" s="333"/>
      <c r="M28" s="334"/>
      <c r="N28" s="335">
        <v>140</v>
      </c>
      <c r="O28" s="333">
        <v>140</v>
      </c>
      <c r="P28" s="335"/>
      <c r="Q28" s="336"/>
      <c r="R28" s="337"/>
      <c r="S28" s="106">
        <f t="shared" si="0"/>
        <v>764</v>
      </c>
      <c r="T28" s="107">
        <f t="shared" si="1"/>
        <v>0.2652777777777778</v>
      </c>
      <c r="U28" s="67">
        <v>0.034722222222222224</v>
      </c>
      <c r="V28" s="68"/>
      <c r="W28" s="68">
        <f t="shared" si="2"/>
        <v>0.3</v>
      </c>
      <c r="X28" s="167">
        <v>17</v>
      </c>
      <c r="Y28" s="154">
        <f t="shared" si="3"/>
      </c>
      <c r="AA28" s="150">
        <f t="shared" si="4"/>
        <v>10</v>
      </c>
    </row>
    <row r="29" spans="1:27" ht="21.75" customHeight="1" hidden="1">
      <c r="A29" s="150">
        <v>130</v>
      </c>
      <c r="B29" s="151">
        <f>IF(ISNA(VLOOKUP(A29,'Проток.жеребк.'!$A:$H,4,FALSE)),"—",VLOOKUP(A29,'Проток.жеребк.'!$A:$H,4,FALSE))</f>
        <v>0</v>
      </c>
      <c r="C29" s="63">
        <f>IF(ISTEXT(D29),COUNTIF(D$12:D29,"&lt;&gt;0"),"")</f>
      </c>
      <c r="D29" s="64">
        <f>VLOOKUP(A29,'Іменні заявки'!$A:$J,7,FALSE)</f>
        <v>0</v>
      </c>
      <c r="E29" s="65"/>
      <c r="F29" s="333"/>
      <c r="G29" s="333"/>
      <c r="H29" s="333"/>
      <c r="I29" s="334"/>
      <c r="J29" s="335"/>
      <c r="K29" s="335"/>
      <c r="L29" s="333"/>
      <c r="M29" s="334"/>
      <c r="N29" s="335"/>
      <c r="O29" s="333"/>
      <c r="P29" s="335"/>
      <c r="Q29" s="336"/>
      <c r="R29" s="337"/>
      <c r="S29" s="367"/>
      <c r="T29" s="107">
        <f t="shared" si="1"/>
        <v>0</v>
      </c>
      <c r="U29" s="67">
        <v>0</v>
      </c>
      <c r="V29" s="68"/>
      <c r="W29" s="68">
        <f t="shared" si="2"/>
        <v>0</v>
      </c>
      <c r="X29" s="167"/>
      <c r="Y29" s="154">
        <f t="shared" si="3"/>
      </c>
      <c r="AA29" s="150">
        <f t="shared" si="4"/>
        <v>130</v>
      </c>
    </row>
    <row r="30" spans="1:27" ht="22.5" customHeight="1" hidden="1">
      <c r="A30" s="150">
        <v>70</v>
      </c>
      <c r="B30" s="151">
        <f>IF(ISNA(VLOOKUP(A30,'Проток.жеребк.'!$A:$H,4,FALSE)),"—",VLOOKUP(A30,'Проток.жеребк.'!$A:$H,4,FALSE))</f>
        <v>0</v>
      </c>
      <c r="C30" s="63">
        <f>IF(ISTEXT(D30),COUNTIF(D$12:D30,"&lt;&gt;0"),"")</f>
      </c>
      <c r="D30" s="64">
        <f>VLOOKUP(A30,'Іменні заявки'!$A:$J,7,FALSE)</f>
        <v>0</v>
      </c>
      <c r="E30" s="65"/>
      <c r="F30" s="333"/>
      <c r="G30" s="333"/>
      <c r="H30" s="333"/>
      <c r="I30" s="334"/>
      <c r="J30" s="335"/>
      <c r="K30" s="335"/>
      <c r="L30" s="333"/>
      <c r="M30" s="334"/>
      <c r="N30" s="335"/>
      <c r="O30" s="333"/>
      <c r="P30" s="335"/>
      <c r="Q30" s="336"/>
      <c r="R30" s="337"/>
      <c r="S30" s="106"/>
      <c r="T30" s="107">
        <f t="shared" si="1"/>
        <v>0</v>
      </c>
      <c r="U30" s="67">
        <v>0</v>
      </c>
      <c r="V30" s="68"/>
      <c r="W30" s="68">
        <f t="shared" si="2"/>
        <v>0</v>
      </c>
      <c r="X30" s="167"/>
      <c r="Y30" s="154">
        <f t="shared" si="3"/>
      </c>
      <c r="AA30" s="150">
        <f t="shared" si="4"/>
        <v>70</v>
      </c>
    </row>
    <row r="31" spans="1:27" ht="22.5" customHeight="1" hidden="1">
      <c r="A31" s="150">
        <v>80</v>
      </c>
      <c r="B31" s="151">
        <f>IF(ISNA(VLOOKUP(A31,'Проток.жеребк.'!$A:$H,4,FALSE)),"—",VLOOKUP(A31,'Проток.жеребк.'!$A:$H,4,FALSE))</f>
        <v>0</v>
      </c>
      <c r="C31" s="95">
        <f>IF(ISTEXT(D31),COUNTIF(D$12:D31,"&lt;&gt;0"),"")</f>
      </c>
      <c r="D31" s="224">
        <f>VLOOKUP(A31,'Іменні заявки'!$A:$J,7,FALSE)</f>
        <v>0</v>
      </c>
      <c r="E31" s="225"/>
      <c r="F31" s="338"/>
      <c r="G31" s="338"/>
      <c r="H31" s="338"/>
      <c r="I31" s="339"/>
      <c r="J31" s="340"/>
      <c r="K31" s="340"/>
      <c r="L31" s="338"/>
      <c r="M31" s="339"/>
      <c r="N31" s="340"/>
      <c r="O31" s="338"/>
      <c r="P31" s="340"/>
      <c r="Q31" s="341"/>
      <c r="R31" s="342"/>
      <c r="S31" s="366"/>
      <c r="T31" s="226">
        <f t="shared" si="1"/>
        <v>0</v>
      </c>
      <c r="U31" s="67">
        <v>0</v>
      </c>
      <c r="V31" s="227"/>
      <c r="W31" s="227">
        <f t="shared" si="2"/>
        <v>0</v>
      </c>
      <c r="X31" s="167"/>
      <c r="Y31" s="154">
        <f t="shared" si="3"/>
      </c>
      <c r="AA31" s="150">
        <f t="shared" si="4"/>
        <v>80</v>
      </c>
    </row>
    <row r="32" spans="1:27" ht="22.5" customHeight="1" hidden="1">
      <c r="A32" s="150">
        <v>100</v>
      </c>
      <c r="B32" s="151">
        <f>IF(ISNA(VLOOKUP(A32,'Проток.жеребк.'!$A:$H,4,FALSE)),"—",VLOOKUP(A32,'Проток.жеребк.'!$A:$H,4,FALSE))</f>
        <v>0</v>
      </c>
      <c r="C32" s="63">
        <f>IF(ISTEXT(D32),COUNTIF(D$12:D32,"&lt;&gt;0"),"")</f>
      </c>
      <c r="D32" s="64">
        <f>VLOOKUP(A32,'Іменні заявки'!$A:$J,7,FALSE)</f>
        <v>0</v>
      </c>
      <c r="E32" s="65"/>
      <c r="F32" s="333"/>
      <c r="G32" s="333"/>
      <c r="H32" s="333"/>
      <c r="I32" s="334"/>
      <c r="J32" s="335"/>
      <c r="K32" s="335"/>
      <c r="L32" s="333"/>
      <c r="M32" s="334"/>
      <c r="N32" s="335"/>
      <c r="O32" s="333"/>
      <c r="P32" s="335"/>
      <c r="Q32" s="336"/>
      <c r="R32" s="337"/>
      <c r="S32" s="106"/>
      <c r="T32" s="107">
        <f t="shared" si="1"/>
        <v>0</v>
      </c>
      <c r="U32" s="67">
        <v>0</v>
      </c>
      <c r="V32" s="68"/>
      <c r="W32" s="68">
        <f t="shared" si="2"/>
        <v>0</v>
      </c>
      <c r="X32" s="167"/>
      <c r="Y32" s="154">
        <f t="shared" si="3"/>
      </c>
      <c r="AA32" s="150">
        <f t="shared" si="4"/>
        <v>100</v>
      </c>
    </row>
    <row r="33" spans="1:27" ht="22.5" customHeight="1" hidden="1">
      <c r="A33" s="150">
        <v>160</v>
      </c>
      <c r="B33" s="151">
        <f>IF(ISNA(VLOOKUP(A33,'Проток.жеребк.'!$A:$H,4,FALSE)),"—",VLOOKUP(A33,'Проток.жеребк.'!$A:$H,4,FALSE))</f>
        <v>0</v>
      </c>
      <c r="C33" s="63">
        <f>IF(ISTEXT(D33),COUNTIF(D$12:D33,"&lt;&gt;0"),"")</f>
      </c>
      <c r="D33" s="64">
        <f>VLOOKUP(A33,'Іменні заявки'!$A:$J,7,FALSE)</f>
        <v>0</v>
      </c>
      <c r="E33" s="65"/>
      <c r="F33" s="333"/>
      <c r="G33" s="333"/>
      <c r="H33" s="333"/>
      <c r="I33" s="334"/>
      <c r="J33" s="335"/>
      <c r="K33" s="335"/>
      <c r="L33" s="333"/>
      <c r="M33" s="334"/>
      <c r="N33" s="335"/>
      <c r="O33" s="333"/>
      <c r="P33" s="335"/>
      <c r="Q33" s="336"/>
      <c r="R33" s="337"/>
      <c r="S33" s="106">
        <f aca="true" t="shared" si="5" ref="S33:S38">SUM(E33:H33,J33:L33,N33:P33,R33)</f>
        <v>0</v>
      </c>
      <c r="T33" s="107">
        <f t="shared" si="1"/>
        <v>0</v>
      </c>
      <c r="U33" s="67"/>
      <c r="V33" s="68"/>
      <c r="W33" s="68">
        <f t="shared" si="2"/>
        <v>0</v>
      </c>
      <c r="X33" s="167"/>
      <c r="Y33" s="154">
        <f t="shared" si="3"/>
      </c>
      <c r="AA33" s="150">
        <f t="shared" si="4"/>
        <v>160</v>
      </c>
    </row>
    <row r="34" spans="1:27" ht="22.5" customHeight="1" hidden="1">
      <c r="A34" s="150">
        <v>30</v>
      </c>
      <c r="B34" s="151">
        <f>IF(ISNA(VLOOKUP(A34,'Проток.жеребк.'!$A:$H,4,FALSE)),"—",VLOOKUP(A34,'Проток.жеребк.'!$A:$H,4,FALSE))</f>
        <v>0</v>
      </c>
      <c r="C34" s="63">
        <f>IF(ISTEXT(D34),COUNTIF(D$12:D34,"&lt;&gt;0"),"")</f>
      </c>
      <c r="D34" s="64">
        <f>VLOOKUP(A34,'Іменні заявки'!$A:$J,7,FALSE)</f>
        <v>0</v>
      </c>
      <c r="E34" s="65"/>
      <c r="F34" s="333"/>
      <c r="G34" s="333"/>
      <c r="H34" s="333"/>
      <c r="I34" s="334"/>
      <c r="J34" s="335"/>
      <c r="K34" s="335"/>
      <c r="L34" s="333"/>
      <c r="M34" s="334"/>
      <c r="N34" s="335"/>
      <c r="O34" s="333"/>
      <c r="P34" s="335"/>
      <c r="Q34" s="336"/>
      <c r="R34" s="337"/>
      <c r="S34" s="106">
        <f t="shared" si="5"/>
        <v>0</v>
      </c>
      <c r="T34" s="107">
        <f t="shared" si="1"/>
        <v>0</v>
      </c>
      <c r="U34" s="67"/>
      <c r="V34" s="68"/>
      <c r="W34" s="68">
        <f t="shared" si="2"/>
        <v>0</v>
      </c>
      <c r="X34" s="167"/>
      <c r="Y34" s="154">
        <f t="shared" si="3"/>
      </c>
      <c r="AA34" s="150">
        <f t="shared" si="4"/>
        <v>30</v>
      </c>
    </row>
    <row r="35" spans="1:27" ht="22.5" customHeight="1" hidden="1">
      <c r="A35" s="150">
        <v>40</v>
      </c>
      <c r="B35" s="151">
        <f>IF(ISNA(VLOOKUP(A35,'Проток.жеребк.'!$A:$H,4,FALSE)),"—",VLOOKUP(A35,'Проток.жеребк.'!$A:$H,4,FALSE))</f>
        <v>0</v>
      </c>
      <c r="C35" s="63">
        <f>IF(ISTEXT(D35),COUNTIF(D$12:D35,"&lt;&gt;0"),"")</f>
      </c>
      <c r="D35" s="64">
        <f>VLOOKUP(A35,'Іменні заявки'!$A:$J,7,FALSE)</f>
        <v>0</v>
      </c>
      <c r="E35" s="65"/>
      <c r="F35" s="333"/>
      <c r="G35" s="333"/>
      <c r="H35" s="333"/>
      <c r="I35" s="334"/>
      <c r="J35" s="335"/>
      <c r="K35" s="335"/>
      <c r="L35" s="333"/>
      <c r="M35" s="334"/>
      <c r="N35" s="335"/>
      <c r="O35" s="333"/>
      <c r="P35" s="335"/>
      <c r="Q35" s="336"/>
      <c r="R35" s="337"/>
      <c r="S35" s="106">
        <f t="shared" si="5"/>
        <v>0</v>
      </c>
      <c r="T35" s="107">
        <f t="shared" si="1"/>
        <v>0</v>
      </c>
      <c r="U35" s="67"/>
      <c r="V35" s="68"/>
      <c r="W35" s="68">
        <f t="shared" si="2"/>
        <v>0</v>
      </c>
      <c r="X35" s="167"/>
      <c r="Y35" s="154">
        <f t="shared" si="3"/>
      </c>
      <c r="AA35" s="150">
        <f t="shared" si="4"/>
        <v>40</v>
      </c>
    </row>
    <row r="36" spans="1:27" ht="22.5" customHeight="1" hidden="1">
      <c r="A36" s="150">
        <v>150</v>
      </c>
      <c r="B36" s="151">
        <f>IF(ISNA(VLOOKUP(A36,'Проток.жеребк.'!$A:$H,4,FALSE)),"—",VLOOKUP(A36,'Проток.жеребк.'!$A:$H,4,FALSE))</f>
        <v>0</v>
      </c>
      <c r="C36" s="63">
        <f>IF(ISTEXT(D36),COUNTIF(D$12:D36,"&lt;&gt;0"),"")</f>
      </c>
      <c r="D36" s="64">
        <f>VLOOKUP(A36,'Іменні заявки'!$A:$J,7,FALSE)</f>
        <v>0</v>
      </c>
      <c r="E36" s="65"/>
      <c r="F36" s="333"/>
      <c r="G36" s="333"/>
      <c r="H36" s="333"/>
      <c r="I36" s="334"/>
      <c r="J36" s="335"/>
      <c r="K36" s="335"/>
      <c r="L36" s="333"/>
      <c r="M36" s="334"/>
      <c r="N36" s="335"/>
      <c r="O36" s="333"/>
      <c r="P36" s="335"/>
      <c r="Q36" s="336"/>
      <c r="R36" s="337"/>
      <c r="S36" s="106">
        <f t="shared" si="5"/>
        <v>0</v>
      </c>
      <c r="T36" s="107">
        <f t="shared" si="1"/>
        <v>0</v>
      </c>
      <c r="U36" s="67"/>
      <c r="V36" s="68"/>
      <c r="W36" s="68">
        <f t="shared" si="2"/>
        <v>0</v>
      </c>
      <c r="X36" s="167"/>
      <c r="Y36" s="154">
        <f t="shared" si="3"/>
      </c>
      <c r="AA36" s="150">
        <f t="shared" si="4"/>
        <v>150</v>
      </c>
    </row>
    <row r="37" spans="1:27" ht="22.5" customHeight="1" hidden="1">
      <c r="A37" s="150">
        <v>200</v>
      </c>
      <c r="B37" s="151">
        <f>IF(ISNA(VLOOKUP(A37,'Проток.жеребк.'!$A:$H,4,FALSE)),"—",VLOOKUP(A37,'Проток.жеребк.'!$A:$H,4,FALSE))</f>
        <v>0</v>
      </c>
      <c r="C37" s="63">
        <f>IF(ISTEXT(D37),COUNTIF(D$12:D37,"&lt;&gt;0"),"")</f>
      </c>
      <c r="D37" s="64">
        <f>VLOOKUP(A37,'Іменні заявки'!$A:$J,7,FALSE)</f>
        <v>0</v>
      </c>
      <c r="E37" s="65"/>
      <c r="F37" s="333"/>
      <c r="G37" s="333"/>
      <c r="H37" s="333"/>
      <c r="I37" s="334"/>
      <c r="J37" s="335"/>
      <c r="K37" s="335"/>
      <c r="L37" s="333"/>
      <c r="M37" s="334"/>
      <c r="N37" s="335"/>
      <c r="O37" s="333"/>
      <c r="P37" s="335"/>
      <c r="Q37" s="336"/>
      <c r="R37" s="337"/>
      <c r="S37" s="106">
        <f t="shared" si="5"/>
        <v>0</v>
      </c>
      <c r="T37" s="107">
        <f t="shared" si="1"/>
        <v>0</v>
      </c>
      <c r="U37" s="67"/>
      <c r="V37" s="68"/>
      <c r="W37" s="68">
        <f t="shared" si="2"/>
        <v>0</v>
      </c>
      <c r="X37" s="167"/>
      <c r="Y37" s="154">
        <f t="shared" si="3"/>
      </c>
      <c r="AA37" s="150">
        <f t="shared" si="4"/>
        <v>200</v>
      </c>
    </row>
    <row r="38" spans="1:27" ht="22.5" customHeight="1" hidden="1" thickBot="1">
      <c r="A38" s="150">
        <v>270</v>
      </c>
      <c r="B38" s="151">
        <f>IF(ISNA(VLOOKUP(A38,'Проток.жеребк.'!$A:$H,4,FALSE)),"—",VLOOKUP(A38,'Проток.жеребк.'!$A:$H,4,FALSE))</f>
        <v>0</v>
      </c>
      <c r="C38" s="242">
        <f>IF(ISTEXT(D38),COUNTIF(D$12:D38,"&lt;&gt;0"),"")</f>
      </c>
      <c r="D38" s="243">
        <f>VLOOKUP(A38,'Іменні заявки'!$A:$J,7,FALSE)</f>
        <v>0</v>
      </c>
      <c r="E38" s="343"/>
      <c r="F38" s="344"/>
      <c r="G38" s="344"/>
      <c r="H38" s="344"/>
      <c r="I38" s="345"/>
      <c r="J38" s="346"/>
      <c r="K38" s="346"/>
      <c r="L38" s="344"/>
      <c r="M38" s="345"/>
      <c r="N38" s="346"/>
      <c r="O38" s="344"/>
      <c r="P38" s="346"/>
      <c r="Q38" s="347"/>
      <c r="R38" s="348"/>
      <c r="S38" s="270">
        <f t="shared" si="5"/>
        <v>0</v>
      </c>
      <c r="T38" s="271">
        <f t="shared" si="1"/>
        <v>0</v>
      </c>
      <c r="U38" s="272"/>
      <c r="V38" s="273"/>
      <c r="W38" s="273">
        <f t="shared" si="2"/>
        <v>0</v>
      </c>
      <c r="X38" s="274"/>
      <c r="Y38" s="240">
        <f t="shared" si="3"/>
      </c>
      <c r="AA38" s="150">
        <f t="shared" si="4"/>
        <v>270</v>
      </c>
    </row>
    <row r="39" spans="3:25" ht="22.5" customHeight="1"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</row>
    <row r="40" spans="3:25" ht="14.25" customHeight="1">
      <c r="C40" s="477" t="str">
        <f>"Головний суддя _______________ "&amp;'Іменні заявки'!$C$6&amp;"      Головний секретар_______________ "&amp;'Іменні заявки'!$C$7</f>
        <v>Головний суддя _______________ Гринчук В.В.      Головний секретар_______________ Кіретова І.О.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</row>
    <row r="41" spans="13:20" ht="12.75">
      <c r="M41"/>
      <c r="N41"/>
      <c r="O41"/>
      <c r="P41"/>
      <c r="Q41"/>
      <c r="R41"/>
      <c r="S41"/>
      <c r="T41"/>
    </row>
    <row r="42" spans="9:25" ht="90">
      <c r="I42" s="152" t="s">
        <v>158</v>
      </c>
      <c r="M42" s="152" t="s">
        <v>158</v>
      </c>
      <c r="R42"/>
      <c r="S42"/>
      <c r="T42"/>
      <c r="X42" s="167" t="s">
        <v>162</v>
      </c>
      <c r="Y42" s="154" t="s">
        <v>159</v>
      </c>
    </row>
    <row r="43" spans="18:25" ht="22.5">
      <c r="R43"/>
      <c r="S43"/>
      <c r="T43"/>
      <c r="X43" s="167" t="s">
        <v>90</v>
      </c>
      <c r="Y43" s="154" t="s">
        <v>160</v>
      </c>
    </row>
  </sheetData>
  <sheetProtection/>
  <mergeCells count="18">
    <mergeCell ref="C1:Y1"/>
    <mergeCell ref="C2:Y2"/>
    <mergeCell ref="C4:Y4"/>
    <mergeCell ref="C6:Y6"/>
    <mergeCell ref="C3:Y3"/>
    <mergeCell ref="A10:A11"/>
    <mergeCell ref="B10:B11"/>
    <mergeCell ref="C10:C11"/>
    <mergeCell ref="E10:R10"/>
    <mergeCell ref="C40:Y40"/>
    <mergeCell ref="D10:D11"/>
    <mergeCell ref="Y10:Y11"/>
    <mergeCell ref="X10:X11"/>
    <mergeCell ref="W10:W11"/>
    <mergeCell ref="U10:U11"/>
    <mergeCell ref="V10:V11"/>
    <mergeCell ref="S10:S11"/>
    <mergeCell ref="T10:T11"/>
  </mergeCells>
  <printOptions horizontalCentered="1"/>
  <pageMargins left="0.2755905511811024" right="0.2755905511811024" top="0.984251968503937" bottom="0.2755905511811024" header="0" footer="0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55"/>
  <sheetViews>
    <sheetView tabSelected="1" view="pageBreakPreview" zoomScale="90" zoomScaleSheetLayoutView="90" workbookViewId="0" topLeftCell="A37">
      <selection activeCell="A1" sqref="A1:L1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40.875" style="0" customWidth="1"/>
    <col min="4" max="4" width="11.125" style="46" customWidth="1"/>
    <col min="5" max="5" width="10.00390625" style="46" customWidth="1"/>
    <col min="6" max="7" width="8.00390625" style="46" customWidth="1"/>
    <col min="8" max="8" width="20.25390625" style="0" customWidth="1"/>
    <col min="9" max="9" width="21.875" style="0" customWidth="1"/>
    <col min="10" max="10" width="11.125" style="0" hidden="1" customWidth="1"/>
    <col min="11" max="11" width="7.75390625" style="0" customWidth="1"/>
    <col min="12" max="12" width="17.875" style="0" customWidth="1"/>
    <col min="13" max="14" width="6.75390625" style="0" customWidth="1"/>
    <col min="15" max="15" width="6.75390625" style="89" customWidth="1"/>
    <col min="16" max="16" width="6.75390625" style="0" customWidth="1"/>
    <col min="17" max="17" width="7.875" style="0" customWidth="1"/>
    <col min="18" max="18" width="6.75390625" style="0" customWidth="1"/>
    <col min="19" max="19" width="8.25390625" style="0" customWidth="1"/>
    <col min="20" max="21" width="6.75390625" style="0" customWidth="1"/>
  </cols>
  <sheetData>
    <row r="1" spans="1:15" ht="11.25" customHeight="1">
      <c r="A1" s="524" t="str">
        <f>'Іменні заявки'!C1</f>
        <v>Департамент освіти і науки Хмельницької обласної державної адміністрації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O1"/>
    </row>
    <row r="2" spans="1:15" ht="11.25" customHeight="1">
      <c r="A2" s="524" t="str">
        <f>'Іменні заявки'!C2</f>
        <v>ХМЕЛЬНИЦЬКИЙ ОБЛАСНИЙ ЦЕНТР ТУРИЗМУ І КРАЄЗНАВСТВА УЧНІВСЬКОЇ МОЛОДІ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O2"/>
    </row>
    <row r="3" spans="1:15" ht="12.75">
      <c r="A3" s="525" t="s">
        <v>249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O3"/>
    </row>
    <row r="4" spans="1:15" ht="12.75">
      <c r="A4" s="69" t="s">
        <v>342</v>
      </c>
      <c r="D4"/>
      <c r="E4"/>
      <c r="F4"/>
      <c r="G4"/>
      <c r="O4"/>
    </row>
    <row r="5" spans="1:15" ht="12.75">
      <c r="A5" s="69" t="s">
        <v>348</v>
      </c>
      <c r="D5"/>
      <c r="E5"/>
      <c r="F5"/>
      <c r="G5"/>
      <c r="O5"/>
    </row>
    <row r="6" spans="1:15" ht="12.75">
      <c r="A6" s="69" t="s">
        <v>343</v>
      </c>
      <c r="D6"/>
      <c r="E6"/>
      <c r="F6"/>
      <c r="G6"/>
      <c r="O6"/>
    </row>
    <row r="7" spans="1:15" ht="12.75">
      <c r="A7" s="69" t="s">
        <v>130</v>
      </c>
      <c r="D7"/>
      <c r="E7"/>
      <c r="F7"/>
      <c r="G7"/>
      <c r="H7" s="70" t="s">
        <v>146</v>
      </c>
      <c r="I7" s="100">
        <f>SUM(O14:O49)/6*4</f>
        <v>436.6666666666667</v>
      </c>
      <c r="O7"/>
    </row>
    <row r="8" spans="1:15" ht="12.75">
      <c r="A8" s="298" t="s">
        <v>347</v>
      </c>
      <c r="B8" s="158"/>
      <c r="C8" s="158"/>
      <c r="D8"/>
      <c r="E8"/>
      <c r="F8"/>
      <c r="G8"/>
      <c r="O8"/>
    </row>
    <row r="9" spans="1:15" ht="12.75">
      <c r="A9" s="69" t="s">
        <v>131</v>
      </c>
      <c r="D9"/>
      <c r="E9"/>
      <c r="F9"/>
      <c r="G9"/>
      <c r="O9"/>
    </row>
    <row r="10" spans="1:15" ht="7.5" customHeight="1" thickBot="1">
      <c r="A10" s="69"/>
      <c r="D10"/>
      <c r="E10"/>
      <c r="F10"/>
      <c r="G10"/>
      <c r="O10"/>
    </row>
    <row r="11" spans="1:20" ht="54.75" customHeight="1" thickTop="1">
      <c r="A11" s="518" t="s">
        <v>132</v>
      </c>
      <c r="B11" s="526" t="s">
        <v>28</v>
      </c>
      <c r="C11" s="486" t="s">
        <v>133</v>
      </c>
      <c r="D11" s="518" t="s">
        <v>134</v>
      </c>
      <c r="E11" s="486" t="s">
        <v>155</v>
      </c>
      <c r="F11" s="518" t="s">
        <v>135</v>
      </c>
      <c r="G11" s="518" t="s">
        <v>32</v>
      </c>
      <c r="H11" s="486" t="s">
        <v>147</v>
      </c>
      <c r="I11" s="486" t="s">
        <v>40</v>
      </c>
      <c r="J11" s="516" t="s">
        <v>136</v>
      </c>
      <c r="K11" s="518" t="s">
        <v>137</v>
      </c>
      <c r="L11" s="486" t="s">
        <v>138</v>
      </c>
      <c r="O11"/>
      <c r="Q11" s="520" t="s">
        <v>120</v>
      </c>
      <c r="R11" s="521"/>
      <c r="S11" s="246" t="s">
        <v>121</v>
      </c>
      <c r="T11" s="139" t="s">
        <v>122</v>
      </c>
    </row>
    <row r="12" spans="1:20" ht="43.5" customHeight="1" thickBot="1">
      <c r="A12" s="519"/>
      <c r="B12" s="527"/>
      <c r="C12" s="506"/>
      <c r="D12" s="519"/>
      <c r="E12" s="506"/>
      <c r="F12" s="519"/>
      <c r="G12" s="519"/>
      <c r="H12" s="506"/>
      <c r="I12" s="506"/>
      <c r="J12" s="517"/>
      <c r="K12" s="519"/>
      <c r="L12" s="506"/>
      <c r="O12"/>
      <c r="Q12" s="522" t="s">
        <v>112</v>
      </c>
      <c r="R12" s="523"/>
      <c r="S12" s="140">
        <f>$I$7</f>
        <v>436.6666666666667</v>
      </c>
      <c r="T12" s="119"/>
    </row>
    <row r="13" spans="1:20" ht="15.75" customHeight="1" thickBot="1">
      <c r="A13" s="72">
        <v>1</v>
      </c>
      <c r="B13" s="72"/>
      <c r="C13" s="72">
        <v>2</v>
      </c>
      <c r="D13" s="72">
        <v>3</v>
      </c>
      <c r="E13" s="72"/>
      <c r="F13" s="73">
        <v>4</v>
      </c>
      <c r="G13" s="73">
        <v>5</v>
      </c>
      <c r="H13" s="72">
        <v>6</v>
      </c>
      <c r="I13" s="71">
        <v>7</v>
      </c>
      <c r="J13" s="71">
        <v>8</v>
      </c>
      <c r="K13" s="71">
        <v>9</v>
      </c>
      <c r="L13" s="72">
        <v>10</v>
      </c>
      <c r="O13"/>
      <c r="Q13" s="122"/>
      <c r="R13" s="123">
        <f>VLOOKUP($S$12,'ЄСКУ_Сп.тур.'!$B$8:$G$41,1,TRUE)</f>
        <v>400</v>
      </c>
      <c r="S13" s="124">
        <f>S12</f>
        <v>436.6666666666667</v>
      </c>
      <c r="T13" s="125">
        <f>INDEX('ЄСКУ_Сп.тур.'!$B$8:$G$41,MATCH($S$12,'ЄСКУ_Сп.тур.'!$B$8:$B$40,1)+1,1)</f>
        <v>500</v>
      </c>
    </row>
    <row r="14" spans="1:20" ht="12.75" customHeight="1">
      <c r="A14" s="486" t="s">
        <v>70</v>
      </c>
      <c r="B14" s="54">
        <v>251</v>
      </c>
      <c r="C14" s="74" t="str">
        <f>VLOOKUP($B14,'Іменні заявки'!$A:$J,2,FALSE)</f>
        <v>Габай Юрій Васильович</v>
      </c>
      <c r="D14" s="75">
        <f>VLOOKUP($B14,'Іменні заявки'!$A:$J,3,FALSE)</f>
        <v>30457</v>
      </c>
      <c r="E14" s="76" t="str">
        <f>VLOOKUP($B14,'Іменні заявки'!$A:$J,4,FALSE)</f>
        <v>КМСУ</v>
      </c>
      <c r="F14" s="507">
        <f>VLOOKUP($B14-RIGHT($B14,1),'Проток.рез.КСП'!A:W,23,FALSE)</f>
        <v>0.024756944444444446</v>
      </c>
      <c r="G14" s="510">
        <f>IF(ISERROR($F14),"—",IF(OR(ISTEXT($F14),$F14=""),"—",IF(VLOOKUP($B14-RIGHT($B14,1),'Проток.рез.КСП'!A:Y,25,FALSE)&lt;&gt;"",VLOOKUP($B14-RIGHT($B14,1),'Проток.рез.КСП'!A:Y,25,FALSE),ROUND($F14/$F$14*100,2))))</f>
        <v>100</v>
      </c>
      <c r="H14" s="513" t="str">
        <f>VLOOKUP($B14,'Іменні заявки'!$A:$J,8,FALSE)</f>
        <v>м.Хмельницький</v>
      </c>
      <c r="I14" s="513" t="str">
        <f>VLOOKUP($B14,'Іменні заявки'!$A:$J,7,FALSE)</f>
        <v>м.Хмельницького</v>
      </c>
      <c r="J14" s="513">
        <f>VLOOKUP($B14,'Іменні заявки'!$A:$J,9,FALSE)</f>
      </c>
      <c r="K14" s="53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І с.р.</v>
      </c>
      <c r="L14" s="77" t="str">
        <f>VLOOKUP($B14,'Іменні заявки'!$A:$J,10,FALSE)</f>
        <v>Флік А.А.</v>
      </c>
      <c r="O14" s="99">
        <f>IF(E14="МСУ",100,IF(E14="КМСУ",30,IF(E14="І",10,IF(E14="ІІ",3,IF(OR(E14="ІІІ",E14="І юн"),1,IF(E14="ІІ юн",0.3,IF(E14="ІІІ юн",0.1,0)))))))</f>
        <v>30</v>
      </c>
      <c r="Q14" s="128" t="s">
        <v>37</v>
      </c>
      <c r="R14" s="123">
        <f>VLOOKUP($S$12,'ЄСКУ_Сп.тур.'!$B$8:$G$41,2,TRUE)</f>
        <v>108</v>
      </c>
      <c r="S14" s="129" t="str">
        <f>IF(OR($S$12&lt;200,$S$11="I",$S$11="II",$S$11="III",ISERROR(R14+(T14-R14)/($T$13-$R$13)*($S$13-$R$13))),"—",ROUND(R14+(T14-R14)/($T$13-$R$13)*($S$13-$R$13),2))</f>
        <v>—</v>
      </c>
      <c r="T14" s="125">
        <f>VLOOKUP($T$13,'ЄСКУ_Сп.тур.'!$B$8:$G$41,2,TRUE)</f>
        <v>111</v>
      </c>
    </row>
    <row r="15" spans="1:20" ht="12.75" customHeight="1">
      <c r="A15" s="487"/>
      <c r="B15" s="56">
        <v>252</v>
      </c>
      <c r="C15" s="79" t="str">
        <f>VLOOKUP($B15,'Іменні заявки'!$A:$J,2,FALSE)</f>
        <v>Мулько Михайло Володимиович</v>
      </c>
      <c r="D15" s="80">
        <f>VLOOKUP($B15,'Іменні заявки'!$A:$J,3,FALSE)</f>
        <v>30642</v>
      </c>
      <c r="E15" s="81" t="str">
        <f>VLOOKUP($B15,'Іменні заявки'!$A:$J,4,FALSE)</f>
        <v>КМСУ</v>
      </c>
      <c r="F15" s="508"/>
      <c r="G15" s="511"/>
      <c r="H15" s="514"/>
      <c r="I15" s="514"/>
      <c r="J15" s="514"/>
      <c r="K15" s="55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І с.р.</v>
      </c>
      <c r="L15" s="82" t="str">
        <f>VLOOKUP($B15,'Іменні заявки'!$A:$J,10,FALSE)</f>
        <v>Флік А.А.</v>
      </c>
      <c r="O15" s="99">
        <f aca="true" t="shared" si="0" ref="O15:O49">IF(E15="МСУ",100,IF(E15="КМСУ",30,IF(E15="І",10,IF(E15="ІІ",3,IF(OR(E15="ІІІ",E15="І юн"),1,IF(E15="ІІ юн",0.3,IF(E15="ІІІ юн",0.1,0)))))))</f>
        <v>30</v>
      </c>
      <c r="Q15" s="128" t="s">
        <v>93</v>
      </c>
      <c r="R15" s="123">
        <f>VLOOKUP($S$12,'ЄСКУ_Сп.тур.'!$B$8:$G$41,3,TRUE)</f>
        <v>123</v>
      </c>
      <c r="S15" s="129">
        <f>IF(OR($S$11="I",$S$11="II",ISERROR(R15+(T15-R15)/($T$13-$R$13)*($S$13-$R$13))),"—",ROUND(R15+(T15-R15)/($T$13-$R$13)*($S$13-$R$13),2))</f>
        <v>124.1</v>
      </c>
      <c r="T15" s="125">
        <f>VLOOKUP($T$13,'ЄСКУ_Сп.тур.'!$B$8:$G$41,3,TRUE)</f>
        <v>126</v>
      </c>
    </row>
    <row r="16" spans="1:20" ht="12.75" customHeight="1">
      <c r="A16" s="487"/>
      <c r="B16" s="56">
        <v>255</v>
      </c>
      <c r="C16" s="79" t="str">
        <f>VLOOKUP($B16,'Іменні заявки'!$A:$J,2,FALSE)</f>
        <v>Бондар Андрій Вікторович</v>
      </c>
      <c r="D16" s="80">
        <f>VLOOKUP($B16,'Іменні заявки'!$A:$J,3,FALSE)</f>
        <v>34933</v>
      </c>
      <c r="E16" s="81" t="str">
        <f>VLOOKUP($B16,'Іменні заявки'!$A:$J,4,FALSE)</f>
        <v>ІІ</v>
      </c>
      <c r="F16" s="508"/>
      <c r="G16" s="511"/>
      <c r="H16" s="514"/>
      <c r="I16" s="514"/>
      <c r="J16" s="514"/>
      <c r="K16" s="55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І с.р.</v>
      </c>
      <c r="L16" s="82" t="str">
        <f>VLOOKUP($B16,'Іменні заявки'!$A:$J,10,FALSE)</f>
        <v>Флік А.А.</v>
      </c>
      <c r="O16" s="99">
        <f>IF(E16="МСУ",100,IF(E16="КМСУ",30,IF(E16="І",10,IF(E16="ІІ",3,IF(OR(E16="ІІІ",E16="І юн"),1,IF(E16="ІІ юн",0.3,IF(E16="ІІІ юн",0.1,0)))))))</f>
        <v>3</v>
      </c>
      <c r="Q16" s="128" t="s">
        <v>95</v>
      </c>
      <c r="R16" s="123">
        <f>VLOOKUP($S$12,'ЄСКУ_Сп.тур.'!$B$8:$G$41,4,TRUE)</f>
        <v>142</v>
      </c>
      <c r="S16" s="129">
        <f>IF(OR($S$11="I",ISERROR(R16+(T16-R16)/($T$13-$R$13)*($S$13-$R$13))),"—",ROUND(R16+(T16-R16)/($T$13-$R$13)*($S$13-$R$13),2))</f>
        <v>143.47</v>
      </c>
      <c r="T16" s="125">
        <f>VLOOKUP($T$13,'ЄСКУ_Сп.тур.'!$B$8:$G$41,4,TRUE)</f>
        <v>146</v>
      </c>
    </row>
    <row r="17" spans="1:20" ht="12.75" customHeight="1">
      <c r="A17" s="487"/>
      <c r="B17" s="56">
        <v>253</v>
      </c>
      <c r="C17" s="79" t="str">
        <f>VLOOKUP($B17,'Іменні заявки'!$A:$J,2,FALSE)</f>
        <v>Батажук Андрій Ігорович</v>
      </c>
      <c r="D17" s="80">
        <f>VLOOKUP($B17,'Іменні заявки'!$A:$J,3,FALSE)</f>
        <v>34544</v>
      </c>
      <c r="E17" s="81" t="str">
        <f>VLOOKUP($B17,'Іменні заявки'!$A:$J,4,FALSE)</f>
        <v>КМСУ</v>
      </c>
      <c r="F17" s="508"/>
      <c r="G17" s="511"/>
      <c r="H17" s="514"/>
      <c r="I17" s="514"/>
      <c r="J17" s="514"/>
      <c r="K17" s="55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І с.р.</v>
      </c>
      <c r="L17" s="82" t="str">
        <f>VLOOKUP($B17,'Іменні заявки'!$A:$J,10,FALSE)</f>
        <v>Флік А.А.</v>
      </c>
      <c r="O17" s="99">
        <f t="shared" si="0"/>
        <v>30</v>
      </c>
      <c r="Q17" s="128" t="s">
        <v>94</v>
      </c>
      <c r="R17" s="123">
        <f>VLOOKUP($S$12,'ЄСКУ_Сп.тур.'!$B$8:$G$41,5,TRUE)</f>
        <v>182</v>
      </c>
      <c r="S17" s="129">
        <f>IF(ISERROR(R17+(T17-R17)/($T$13-$R$13)*($S$13-$R$13)),"—",ROUND(R17+(T17-R17)/($T$13-$R$13)*($S$13-$R$13),2))</f>
        <v>183.47</v>
      </c>
      <c r="T17" s="125">
        <f>VLOOKUP($T$13,'ЄСКУ_Сп.тур.'!$B$8:$G$41,5,TRUE)</f>
        <v>186</v>
      </c>
    </row>
    <row r="18" spans="1:20" ht="12.75" customHeight="1">
      <c r="A18" s="487"/>
      <c r="B18" s="56">
        <v>256</v>
      </c>
      <c r="C18" s="79" t="str">
        <f>VLOOKUP($B18,'Іменні заявки'!$A:$J,2,FALSE)</f>
        <v>Соболевська Інні Петрівна</v>
      </c>
      <c r="D18" s="80">
        <f>VLOOKUP($B18,'Іменні заявки'!$A:$J,3,FALSE)</f>
        <v>34284</v>
      </c>
      <c r="E18" s="81" t="str">
        <f>VLOOKUP($B18,'Іменні заявки'!$A:$J,4,FALSE)</f>
        <v>б/р</v>
      </c>
      <c r="F18" s="508"/>
      <c r="G18" s="511"/>
      <c r="H18" s="514"/>
      <c r="I18" s="514"/>
      <c r="J18" s="514"/>
      <c r="K18" s="55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І с.р.</v>
      </c>
      <c r="L18" s="82" t="str">
        <f>VLOOKUP($B18,'Іменні заявки'!$A:$J,10,FALSE)</f>
        <v>Флік А.А.</v>
      </c>
      <c r="O18" s="99">
        <f t="shared" si="0"/>
        <v>0</v>
      </c>
      <c r="Q18" s="128" t="s">
        <v>123</v>
      </c>
      <c r="R18" s="123">
        <f>VLOOKUP($S$12,'ЄСКУ_Сп.тур.'!$B$8:$G$41,5,TRUE)</f>
        <v>182</v>
      </c>
      <c r="S18" s="129">
        <f>IF(ISERROR(R18+(T18-R18)/($T$13-$R$13)*($S$13-$R$13)),"—",ROUND(R18+(T18-R18)/($T$13-$R$13)*($S$13-$R$13),2))</f>
        <v>183.47</v>
      </c>
      <c r="T18" s="125">
        <f>VLOOKUP($T$13,'ЄСКУ_Сп.тур.'!$B$8:$G$41,5,TRUE)</f>
        <v>186</v>
      </c>
    </row>
    <row r="19" spans="1:20" ht="12.75" customHeight="1" thickBot="1">
      <c r="A19" s="506"/>
      <c r="B19" s="83">
        <v>254</v>
      </c>
      <c r="C19" s="84" t="str">
        <f>VLOOKUP($B19,'Іменні заявки'!$A:$J,2,FALSE)</f>
        <v>Євтодій Максим Сергійович</v>
      </c>
      <c r="D19" s="85">
        <f>VLOOKUP($B19,'Іменні заявки'!$A:$J,3,FALSE)</f>
        <v>34954</v>
      </c>
      <c r="E19" s="86" t="str">
        <f>VLOOKUP($B19,'Іменні заявки'!$A:$J,4,FALSE)</f>
        <v>КМСУ</v>
      </c>
      <c r="F19" s="509"/>
      <c r="G19" s="512"/>
      <c r="H19" s="515"/>
      <c r="I19" s="515"/>
      <c r="J19" s="515"/>
      <c r="K19" s="87" t="str">
        <f>IF(AND(OR($S$11="V",$S$11="IV"),$S$12&gt;=200,$S$14&lt;&gt;"—",G14&lt;=$S$14),"КМСУ",IF(AND($S$15&lt;&gt;"—",G14&lt;=$S$15),"І с.р.",IF(AND($S$16&lt;&gt;"—",G14&lt;=$S$16),"ІІ с.р.",IF(AND($S$17&lt;&gt;"—",G14&lt;=$S$17),"ІІІ с.р.","—"))))</f>
        <v>І с.р.</v>
      </c>
      <c r="L19" s="88" t="str">
        <f>VLOOKUP($B19,'Іменні заявки'!$A:$J,10,FALSE)</f>
        <v>Флік А.А.</v>
      </c>
      <c r="O19" s="99">
        <f t="shared" si="0"/>
        <v>30</v>
      </c>
      <c r="Q19" s="130" t="s">
        <v>124</v>
      </c>
      <c r="R19" s="131" t="str">
        <f>VLOOKUP($S$12,'ЄСКУ_Сп.тур.'!$B$8:$G$41,6,TRUE)</f>
        <v>-</v>
      </c>
      <c r="S19" s="132" t="str">
        <f>IF(ISERROR(R19+(T19-R19)/($T$13-$R$13)*($S$13-$R$13)),"—",ROUND(R19+(T19-R19)/($T$13-$R$13)*($S$13-$R$13),2))</f>
        <v>—</v>
      </c>
      <c r="T19" s="133" t="str">
        <f>VLOOKUP($T$13,'ЄСКУ_Сп.тур.'!$B$8:$G$41,6,TRUE)</f>
        <v>-</v>
      </c>
    </row>
    <row r="20" spans="1:15" ht="12.75" customHeight="1">
      <c r="A20" s="486" t="s">
        <v>71</v>
      </c>
      <c r="B20" s="54">
        <v>191</v>
      </c>
      <c r="C20" s="74" t="str">
        <f>VLOOKUP($B20,'Іменні заявки'!$A:$J,2,FALSE)</f>
        <v>Яворський Володимир Миколайович</v>
      </c>
      <c r="D20" s="75">
        <f>VLOOKUP($B20,'Іменні заявки'!$A:$J,3,FALSE)</f>
        <v>28012</v>
      </c>
      <c r="E20" s="76" t="str">
        <f>VLOOKUP($B20,'Іменні заявки'!$A:$J,4,FALSE)</f>
        <v>КМСУ</v>
      </c>
      <c r="F20" s="507">
        <f>VLOOKUP($B20-RIGHT($B20,1),'Проток.рез.КСП'!A:W,23,FALSE)</f>
        <v>0.027916666666666666</v>
      </c>
      <c r="G20" s="510">
        <f>IF(ISERROR($F20),"—",IF(OR(ISTEXT($F20),$F20=""),"—",IF(VLOOKUP($B20-RIGHT($B20,1),'Проток.рез.КСП'!A:Y,25,FALSE)&lt;&gt;"",VLOOKUP($B20-RIGHT($B20,1),'Проток.рез.КСП'!A:Y,25,FALSE),ROUND($F20/$F$14*100,2))))</f>
        <v>112.76</v>
      </c>
      <c r="H20" s="513" t="str">
        <f>VLOOKUP($B20,'Іменні заявки'!$A:$J,8,FALSE)</f>
        <v>Шепетівський р-н</v>
      </c>
      <c r="I20" s="513" t="str">
        <f>VLOOKUP($B20,'Іменні заявки'!$A:$J,7,FALSE)</f>
        <v>Шепетівського р-ну</v>
      </c>
      <c r="J20" s="513">
        <f>VLOOKUP($B20,'Іменні заявки'!$A:$J,9,FALSE)</f>
      </c>
      <c r="K20" s="53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І с.р.</v>
      </c>
      <c r="L20" s="77" t="str">
        <f>VLOOKUP($B20,'Іменні заявки'!$A:$J,10,FALSE)</f>
        <v>Варава В.М.</v>
      </c>
      <c r="O20" s="99">
        <f t="shared" si="0"/>
        <v>30</v>
      </c>
    </row>
    <row r="21" spans="1:15" ht="12.75" customHeight="1">
      <c r="A21" s="487"/>
      <c r="B21" s="56">
        <v>192</v>
      </c>
      <c r="C21" s="79" t="str">
        <f>VLOOKUP($B21,'Іменні заявки'!$A:$J,2,FALSE)</f>
        <v>Яворський Олег Віталійович</v>
      </c>
      <c r="D21" s="80">
        <f>VLOOKUP($B21,'Іменні заявки'!$A:$J,3,FALSE)</f>
        <v>32041</v>
      </c>
      <c r="E21" s="81" t="str">
        <f>VLOOKUP($B21,'Іменні заявки'!$A:$J,4,FALSE)</f>
        <v>КМСУ</v>
      </c>
      <c r="F21" s="508"/>
      <c r="G21" s="511"/>
      <c r="H21" s="514"/>
      <c r="I21" s="514"/>
      <c r="J21" s="514"/>
      <c r="K21" s="55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І с.р.</v>
      </c>
      <c r="L21" s="82" t="str">
        <f>VLOOKUP($B21,'Іменні заявки'!$A:$J,10,FALSE)</f>
        <v>Яворський В.М.</v>
      </c>
      <c r="O21" s="99">
        <f t="shared" si="0"/>
        <v>30</v>
      </c>
    </row>
    <row r="22" spans="1:15" ht="12.75" customHeight="1">
      <c r="A22" s="487"/>
      <c r="B22" s="56">
        <v>193</v>
      </c>
      <c r="C22" s="79" t="str">
        <f>VLOOKUP($B22,'Іменні заявки'!$A:$J,2,FALSE)</f>
        <v>Швець Віталій Васильович</v>
      </c>
      <c r="D22" s="80">
        <f>VLOOKUP($B22,'Іменні заявки'!$A:$J,3,FALSE)</f>
        <v>30947</v>
      </c>
      <c r="E22" s="81" t="str">
        <f>VLOOKUP($B22,'Іменні заявки'!$A:$J,4,FALSE)</f>
        <v>КМСУ</v>
      </c>
      <c r="F22" s="508"/>
      <c r="G22" s="511"/>
      <c r="H22" s="514"/>
      <c r="I22" s="514"/>
      <c r="J22" s="514"/>
      <c r="K22" s="55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І с.р.</v>
      </c>
      <c r="L22" s="82" t="str">
        <f>VLOOKUP($B22,'Іменні заявки'!$A:$J,10,FALSE)</f>
        <v>Яворський В.М.</v>
      </c>
      <c r="O22" s="99">
        <f t="shared" si="0"/>
        <v>30</v>
      </c>
    </row>
    <row r="23" spans="1:15" ht="12.75" customHeight="1">
      <c r="A23" s="487"/>
      <c r="B23" s="56">
        <v>194</v>
      </c>
      <c r="C23" s="79" t="str">
        <f>VLOOKUP($B23,'Іменні заявки'!$A:$J,2,FALSE)</f>
        <v>Василишин Віталій Іванович</v>
      </c>
      <c r="D23" s="80">
        <f>VLOOKUP($B23,'Іменні заявки'!$A:$J,3,FALSE)</f>
        <v>30473</v>
      </c>
      <c r="E23" s="81" t="str">
        <f>VLOOKUP($B23,'Іменні заявки'!$A:$J,4,FALSE)</f>
        <v>КМСУ</v>
      </c>
      <c r="F23" s="508"/>
      <c r="G23" s="511"/>
      <c r="H23" s="514"/>
      <c r="I23" s="514"/>
      <c r="J23" s="514"/>
      <c r="K23" s="55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І с.р.</v>
      </c>
      <c r="L23" s="82" t="str">
        <f>VLOOKUP($B23,'Іменні заявки'!$A:$J,10,FALSE)</f>
        <v>Яворський В.М.</v>
      </c>
      <c r="O23" s="99">
        <f t="shared" si="0"/>
        <v>30</v>
      </c>
    </row>
    <row r="24" spans="1:15" ht="12.75" customHeight="1">
      <c r="A24" s="487"/>
      <c r="B24" s="56">
        <v>196</v>
      </c>
      <c r="C24" s="79" t="str">
        <f>VLOOKUP($B24,'Іменні заявки'!$A:$J,2,FALSE)</f>
        <v>Поліщук Віктор Аркадійович</v>
      </c>
      <c r="D24" s="80">
        <f>VLOOKUP($B24,'Іменні заявки'!$A:$J,3,FALSE)</f>
        <v>33413</v>
      </c>
      <c r="E24" s="81" t="str">
        <f>VLOOKUP($B24,'Іменні заявки'!$A:$J,4,FALSE)</f>
        <v>КМСУ</v>
      </c>
      <c r="F24" s="508"/>
      <c r="G24" s="511"/>
      <c r="H24" s="514"/>
      <c r="I24" s="514"/>
      <c r="J24" s="514"/>
      <c r="K24" s="55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І с.р.</v>
      </c>
      <c r="L24" s="82" t="str">
        <f>VLOOKUP($B24,'Іменні заявки'!$A:$J,10,FALSE)</f>
        <v>Яворський В.М.</v>
      </c>
      <c r="O24" s="99">
        <f t="shared" si="0"/>
        <v>30</v>
      </c>
    </row>
    <row r="25" spans="1:15" ht="12.75" customHeight="1" thickBot="1">
      <c r="A25" s="506"/>
      <c r="B25" s="83">
        <v>197</v>
      </c>
      <c r="C25" s="84" t="str">
        <f>VLOOKUP($B25,'Іменні заявки'!$A:$J,2,FALSE)</f>
        <v>Швець Аліна Василівна</v>
      </c>
      <c r="D25" s="85">
        <f>VLOOKUP($B25,'Іменні заявки'!$A:$J,3,FALSE)</f>
        <v>33236</v>
      </c>
      <c r="E25" s="86" t="str">
        <f>VLOOKUP($B25,'Іменні заявки'!$A:$J,4,FALSE)</f>
        <v>КМСУ</v>
      </c>
      <c r="F25" s="509"/>
      <c r="G25" s="512"/>
      <c r="H25" s="515"/>
      <c r="I25" s="515"/>
      <c r="J25" s="515"/>
      <c r="K25" s="87" t="str">
        <f>IF(AND(OR($S$11="V",$S$11="IV"),$S$12&gt;=200,$S$14&lt;&gt;"—",G20&lt;=$S$14),"КМСУ",IF(AND($S$15&lt;&gt;"—",G20&lt;=$S$15),"І с.р.",IF(AND($S$16&lt;&gt;"—",G20&lt;=$S$16),"ІІ с.р.",IF(AND($S$17&lt;&gt;"—",G20&lt;=$S$17),"ІІІ с.р.","—"))))</f>
        <v>І с.р.</v>
      </c>
      <c r="L25" s="88" t="str">
        <f>VLOOKUP($B25,'Іменні заявки'!$A:$J,10,FALSE)</f>
        <v>Яворський В.М.</v>
      </c>
      <c r="O25" s="99">
        <f t="shared" si="0"/>
        <v>30</v>
      </c>
    </row>
    <row r="26" spans="1:15" ht="12.75" customHeight="1">
      <c r="A26" s="486" t="s">
        <v>72</v>
      </c>
      <c r="B26" s="54">
        <v>231</v>
      </c>
      <c r="C26" s="74" t="str">
        <f>VLOOKUP($B26,'Іменні заявки'!$A:$J,2,FALSE)</f>
        <v>Лук'янчук Олександр Вікторович</v>
      </c>
      <c r="D26" s="75">
        <f>VLOOKUP($B26,'Іменні заявки'!$A:$J,3,FALSE)</f>
        <v>31208</v>
      </c>
      <c r="E26" s="76" t="str">
        <f>VLOOKUP($B26,'Іменні заявки'!$A:$J,4,FALSE)</f>
        <v>І</v>
      </c>
      <c r="F26" s="507">
        <f>VLOOKUP($B26-RIGHT($B26,1),'Проток.рез.КСП'!A:W,23,FALSE)</f>
        <v>0.03295138888888889</v>
      </c>
      <c r="G26" s="510">
        <f>IF(ISERROR($F26),"—",IF(OR(ISTEXT($F26),$F26=""),"—",IF(VLOOKUP($B26-RIGHT($B26,1),'Проток.рез.КСП'!A:Y,25,FALSE)&lt;&gt;"",VLOOKUP($B26-RIGHT($B26,1),'Проток.рез.КСП'!A:Y,25,FALSE),ROUND($F26/$F$14*100,2))))</f>
        <v>133.1</v>
      </c>
      <c r="H26" s="513" t="str">
        <f>VLOOKUP($B26,'Іменні заявки'!$A:$J,8,FALSE)</f>
        <v>м.Славута</v>
      </c>
      <c r="I26" s="513" t="str">
        <f>VLOOKUP($B26,'Іменні заявки'!$A:$J,7,FALSE)</f>
        <v>м.Славути</v>
      </c>
      <c r="J26" s="513">
        <f>VLOOKUP($B26,'Іменні заявки'!$A:$J,9,FALSE)</f>
      </c>
      <c r="K26" s="53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ІІ с.р.</v>
      </c>
      <c r="L26" s="77" t="str">
        <f>VLOOKUP($B26,'Іменні заявки'!$A:$J,10,FALSE)</f>
        <v>Лук'янчук О.В.</v>
      </c>
      <c r="O26" s="99">
        <f t="shared" si="0"/>
        <v>10</v>
      </c>
    </row>
    <row r="27" spans="1:15" ht="12.75" customHeight="1">
      <c r="A27" s="487"/>
      <c r="B27" s="56">
        <v>232</v>
      </c>
      <c r="C27" s="79" t="str">
        <f>VLOOKUP($B27,'Іменні заявки'!$A:$J,2,FALSE)</f>
        <v>Мулик Ярослав Євгенович</v>
      </c>
      <c r="D27" s="80">
        <f>VLOOKUP($B27,'Іменні заявки'!$A:$J,3,FALSE)</f>
        <v>30849</v>
      </c>
      <c r="E27" s="81" t="str">
        <f>VLOOKUP($B27,'Іменні заявки'!$A:$J,4,FALSE)</f>
        <v>І</v>
      </c>
      <c r="F27" s="508"/>
      <c r="G27" s="511"/>
      <c r="H27" s="514"/>
      <c r="I27" s="514"/>
      <c r="J27" s="514"/>
      <c r="K27" s="55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ІІ с.р.</v>
      </c>
      <c r="L27" s="82" t="str">
        <f>VLOOKUP($B27,'Іменні заявки'!$A:$J,10,FALSE)</f>
        <v>Лук'янчук О.В.</v>
      </c>
      <c r="O27" s="99">
        <f t="shared" si="0"/>
        <v>10</v>
      </c>
    </row>
    <row r="28" spans="1:15" ht="12.75" customHeight="1">
      <c r="A28" s="487"/>
      <c r="B28" s="56">
        <v>233</v>
      </c>
      <c r="C28" s="79" t="str">
        <f>VLOOKUP($B28,'Іменні заявки'!$A:$J,2,FALSE)</f>
        <v>Гайдук Богдан Вікторович</v>
      </c>
      <c r="D28" s="80">
        <f>VLOOKUP($B28,'Іменні заявки'!$A:$J,3,FALSE)</f>
        <v>34881</v>
      </c>
      <c r="E28" s="81" t="str">
        <f>VLOOKUP($B28,'Іменні заявки'!$A:$J,4,FALSE)</f>
        <v>І</v>
      </c>
      <c r="F28" s="508"/>
      <c r="G28" s="511"/>
      <c r="H28" s="514"/>
      <c r="I28" s="514"/>
      <c r="J28" s="514"/>
      <c r="K28" s="55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ІІ с.р.</v>
      </c>
      <c r="L28" s="82" t="str">
        <f>VLOOKUP($B28,'Іменні заявки'!$A:$J,10,FALSE)</f>
        <v>Лук'янчук О.В.</v>
      </c>
      <c r="O28" s="99">
        <f t="shared" si="0"/>
        <v>10</v>
      </c>
    </row>
    <row r="29" spans="1:15" ht="12.75" customHeight="1">
      <c r="A29" s="487"/>
      <c r="B29" s="56">
        <v>234</v>
      </c>
      <c r="C29" s="79" t="str">
        <f>VLOOKUP($B29,'Іменні заявки'!$A:$J,2,FALSE)</f>
        <v>Романюк Руслан Миколайович</v>
      </c>
      <c r="D29" s="80">
        <f>VLOOKUP($B29,'Іменні заявки'!$A:$J,3,FALSE)</f>
        <v>32980</v>
      </c>
      <c r="E29" s="81" t="str">
        <f>VLOOKUP($B29,'Іменні заявки'!$A:$J,4,FALSE)</f>
        <v>І</v>
      </c>
      <c r="F29" s="508"/>
      <c r="G29" s="511"/>
      <c r="H29" s="514"/>
      <c r="I29" s="514"/>
      <c r="J29" s="514"/>
      <c r="K29" s="55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ІІ с.р.</v>
      </c>
      <c r="L29" s="82" t="str">
        <f>VLOOKUP($B29,'Іменні заявки'!$A:$J,10,FALSE)</f>
        <v>Лук'янчук О.В.</v>
      </c>
      <c r="O29" s="99">
        <f t="shared" si="0"/>
        <v>10</v>
      </c>
    </row>
    <row r="30" spans="1:15" ht="12.75" customHeight="1">
      <c r="A30" s="487"/>
      <c r="B30" s="56">
        <v>236</v>
      </c>
      <c r="C30" s="79" t="str">
        <f>VLOOKUP($B30,'Іменні заявки'!$A:$J,2,FALSE)</f>
        <v>Вакульчук Крістіна Григорівна</v>
      </c>
      <c r="D30" s="80">
        <f>VLOOKUP($B30,'Іменні заявки'!$A:$J,3,FALSE)</f>
        <v>32943</v>
      </c>
      <c r="E30" s="81" t="str">
        <f>VLOOKUP($B30,'Іменні заявки'!$A:$J,4,FALSE)</f>
        <v>І</v>
      </c>
      <c r="F30" s="508"/>
      <c r="G30" s="511"/>
      <c r="H30" s="514"/>
      <c r="I30" s="514"/>
      <c r="J30" s="514"/>
      <c r="K30" s="55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ІІ с.р.</v>
      </c>
      <c r="L30" s="82" t="str">
        <f>VLOOKUP($B30,'Іменні заявки'!$A:$J,10,FALSE)</f>
        <v>Лук'янчук О.В.</v>
      </c>
      <c r="O30" s="99">
        <f t="shared" si="0"/>
        <v>10</v>
      </c>
    </row>
    <row r="31" spans="1:15" ht="12.75" customHeight="1" thickBot="1">
      <c r="A31" s="506"/>
      <c r="B31" s="83">
        <v>237</v>
      </c>
      <c r="C31" s="84" t="str">
        <f>VLOOKUP($B31,'Іменні заявки'!$A:$J,2,FALSE)</f>
        <v>Климчук Інна Павлівна</v>
      </c>
      <c r="D31" s="85">
        <f>VLOOKUP($B31,'Іменні заявки'!$A:$J,3,FALSE)</f>
        <v>32410</v>
      </c>
      <c r="E31" s="86" t="str">
        <f>VLOOKUP($B31,'Іменні заявки'!$A:$J,4,FALSE)</f>
        <v>ІІ</v>
      </c>
      <c r="F31" s="509"/>
      <c r="G31" s="512"/>
      <c r="H31" s="515"/>
      <c r="I31" s="515"/>
      <c r="J31" s="515"/>
      <c r="K31" s="87" t="str">
        <f>IF(AND(OR($S$11="V",$S$11="IV"),$S$12&gt;=200,$S$14&lt;&gt;"—",G26&lt;=$S$14),"КМСУ",IF(AND($S$15&lt;&gt;"—",G26&lt;=$S$15),"І с.р.",IF(AND($S$16&lt;&gt;"—",G26&lt;=$S$16),"ІІ с.р.",IF(AND($S$17&lt;&gt;"—",G26&lt;=$S$17),"ІІІ с.р.","—"))))</f>
        <v>ІІ с.р.</v>
      </c>
      <c r="L31" s="88" t="str">
        <f>VLOOKUP($B31,'Іменні заявки'!$A:$J,10,FALSE)</f>
        <v>Лук'янчук О.В.</v>
      </c>
      <c r="O31" s="99">
        <f t="shared" si="0"/>
        <v>3</v>
      </c>
    </row>
    <row r="32" spans="1:15" ht="12.75" customHeight="1">
      <c r="A32" s="486">
        <v>4</v>
      </c>
      <c r="B32" s="54">
        <v>211</v>
      </c>
      <c r="C32" s="74" t="str">
        <f>VLOOKUP($B32,'Іменні заявки'!$A:$J,2,FALSE)</f>
        <v>Касапчук Сергій Якович</v>
      </c>
      <c r="D32" s="75">
        <f>VLOOKUP($B32,'Іменні заявки'!$A:$J,3,FALSE)</f>
        <v>29720</v>
      </c>
      <c r="E32" s="76" t="str">
        <f>VLOOKUP($B32,'Іменні заявки'!$A:$J,4,FALSE)</f>
        <v>КМСУ</v>
      </c>
      <c r="F32" s="507">
        <f>VLOOKUP($B32-RIGHT($B32,1),'Проток.рез.КСП'!A:W,23,FALSE)</f>
        <v>0.03324074074074074</v>
      </c>
      <c r="G32" s="510">
        <f>IF(ISERROR($F32),"—",IF(OR(ISTEXT($F32),$F32=""),"—",IF(VLOOKUP($B32-RIGHT($B32,1),'Проток.рез.КСП'!A:Y,25,FALSE)&lt;&gt;"",VLOOKUP($B32-RIGHT($B32,1),'Проток.рез.КСП'!A:Y,25,FALSE),ROUND($F32/$F$14*100,2))))</f>
        <v>134.27</v>
      </c>
      <c r="H32" s="513" t="str">
        <f>VLOOKUP($B32,'Іменні заявки'!$A:$J,8,FALSE)</f>
        <v>м.Кам.-Подільський</v>
      </c>
      <c r="I32" s="513" t="str">
        <f>VLOOKUP($B32,'Іменні заявки'!$A:$J,7,FALSE)</f>
        <v>м.Кам’янця-Подільського</v>
      </c>
      <c r="J32" s="513">
        <f>VLOOKUP($B32,'Іменні заявки'!$A:$J,9,FALSE)</f>
      </c>
      <c r="K32" s="53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ІІ с.р.</v>
      </c>
      <c r="L32" s="77" t="str">
        <f>VLOOKUP($B32,'Іменні заявки'!$A:$J,10,FALSE)</f>
        <v>Полева Н.І.</v>
      </c>
      <c r="O32" s="99">
        <f t="shared" si="0"/>
        <v>30</v>
      </c>
    </row>
    <row r="33" spans="1:15" ht="12.75" customHeight="1">
      <c r="A33" s="487"/>
      <c r="B33" s="56">
        <v>212</v>
      </c>
      <c r="C33" s="79" t="str">
        <f>VLOOKUP($B33,'Іменні заявки'!$A:$J,2,FALSE)</f>
        <v>Іванов Віталій Володимирович</v>
      </c>
      <c r="D33" s="80">
        <f>VLOOKUP($B33,'Іменні заявки'!$A:$J,3,FALSE)</f>
        <v>31810</v>
      </c>
      <c r="E33" s="81" t="str">
        <f>VLOOKUP($B33,'Іменні заявки'!$A:$J,4,FALSE)</f>
        <v>б/р</v>
      </c>
      <c r="F33" s="508"/>
      <c r="G33" s="511"/>
      <c r="H33" s="514"/>
      <c r="I33" s="514"/>
      <c r="J33" s="514"/>
      <c r="K33" s="55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ІІ с.р.</v>
      </c>
      <c r="L33" s="82" t="str">
        <f>VLOOKUP($B33,'Іменні заявки'!$A:$J,10,FALSE)</f>
        <v>Полева Н.І.</v>
      </c>
      <c r="O33" s="99">
        <f t="shared" si="0"/>
        <v>0</v>
      </c>
    </row>
    <row r="34" spans="1:15" ht="12.75" customHeight="1">
      <c r="A34" s="487"/>
      <c r="B34" s="56">
        <v>213</v>
      </c>
      <c r="C34" s="79" t="str">
        <f>VLOOKUP($B34,'Іменні заявки'!$A:$J,2,FALSE)</f>
        <v>Тимчук Дмитро Вадимович</v>
      </c>
      <c r="D34" s="80">
        <f>VLOOKUP($B34,'Іменні заявки'!$A:$J,3,FALSE)</f>
        <v>29235</v>
      </c>
      <c r="E34" s="81" t="str">
        <f>VLOOKUP($B34,'Іменні заявки'!$A:$J,4,FALSE)</f>
        <v>КМСУ</v>
      </c>
      <c r="F34" s="508"/>
      <c r="G34" s="511"/>
      <c r="H34" s="514"/>
      <c r="I34" s="514"/>
      <c r="J34" s="514"/>
      <c r="K34" s="55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ІІ с.р.</v>
      </c>
      <c r="L34" s="82" t="str">
        <f>VLOOKUP($B34,'Іменні заявки'!$A:$J,10,FALSE)</f>
        <v>Полева Н.І.</v>
      </c>
      <c r="O34" s="99">
        <f t="shared" si="0"/>
        <v>30</v>
      </c>
    </row>
    <row r="35" spans="1:15" ht="12.75" customHeight="1">
      <c r="A35" s="487"/>
      <c r="B35" s="56">
        <v>214</v>
      </c>
      <c r="C35" s="79" t="str">
        <f>VLOOKUP($B35,'Іменні заявки'!$A:$J,2,FALSE)</f>
        <v>Полевий Юрій Богданович</v>
      </c>
      <c r="D35" s="80">
        <f>VLOOKUP($B35,'Іменні заявки'!$A:$J,3,FALSE)</f>
        <v>30054</v>
      </c>
      <c r="E35" s="81" t="str">
        <f>VLOOKUP($B35,'Іменні заявки'!$A:$J,4,FALSE)</f>
        <v>КМСУ</v>
      </c>
      <c r="F35" s="508"/>
      <c r="G35" s="511"/>
      <c r="H35" s="514"/>
      <c r="I35" s="514"/>
      <c r="J35" s="514"/>
      <c r="K35" s="55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ІІ с.р.</v>
      </c>
      <c r="L35" s="82" t="str">
        <f>VLOOKUP($B35,'Іменні заявки'!$A:$J,10,FALSE)</f>
        <v>Полева Н.І.</v>
      </c>
      <c r="O35" s="99">
        <f t="shared" si="0"/>
        <v>30</v>
      </c>
    </row>
    <row r="36" spans="1:15" ht="12.75" customHeight="1">
      <c r="A36" s="487"/>
      <c r="B36" s="56">
        <v>215</v>
      </c>
      <c r="C36" s="79" t="str">
        <f>VLOOKUP($B36,'Іменні заявки'!$A:$J,2,FALSE)</f>
        <v>Полева Наталія Іванівна</v>
      </c>
      <c r="D36" s="80">
        <f>VLOOKUP($B36,'Іменні заявки'!$A:$J,3,FALSE)</f>
        <v>29135</v>
      </c>
      <c r="E36" s="81" t="str">
        <f>VLOOKUP($B36,'Іменні заявки'!$A:$J,4,FALSE)</f>
        <v>МСУ</v>
      </c>
      <c r="F36" s="508"/>
      <c r="G36" s="511"/>
      <c r="H36" s="514"/>
      <c r="I36" s="514"/>
      <c r="J36" s="514"/>
      <c r="K36" s="55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ІІ с.р.</v>
      </c>
      <c r="L36" s="82" t="str">
        <f>VLOOKUP($B36,'Іменні заявки'!$A:$J,10,FALSE)</f>
        <v>Полева Н.І.</v>
      </c>
      <c r="O36" s="99">
        <f t="shared" si="0"/>
        <v>100</v>
      </c>
    </row>
    <row r="37" spans="1:15" ht="12.75" customHeight="1" thickBot="1">
      <c r="A37" s="506"/>
      <c r="B37" s="83">
        <v>216</v>
      </c>
      <c r="C37" s="84" t="str">
        <f>VLOOKUP($B37,'Іменні заявки'!$A:$J,2,FALSE)</f>
        <v>Самойленко Олена Віталіївна</v>
      </c>
      <c r="D37" s="85">
        <f>VLOOKUP($B37,'Іменні заявки'!$A:$J,3,FALSE)</f>
        <v>28770</v>
      </c>
      <c r="E37" s="86" t="str">
        <f>VLOOKUP($B37,'Іменні заявки'!$A:$J,4,FALSE)</f>
        <v>КМСУ</v>
      </c>
      <c r="F37" s="509"/>
      <c r="G37" s="512"/>
      <c r="H37" s="515"/>
      <c r="I37" s="515"/>
      <c r="J37" s="515"/>
      <c r="K37" s="87" t="str">
        <f>IF(AND(OR($S$11="V",$S$11="IV"),$S$12&gt;=200,$S$14&lt;&gt;"—",G32&lt;=$S$14),"КМСУ",IF(AND($S$15&lt;&gt;"—",G32&lt;=$S$15),"І с.р.",IF(AND($S$16&lt;&gt;"—",G32&lt;=$S$16),"ІІ с.р.",IF(AND($S$17&lt;&gt;"—",G32&lt;=$S$17),"ІІІ с.р.","—"))))</f>
        <v>ІІ с.р.</v>
      </c>
      <c r="L37" s="88" t="str">
        <f>VLOOKUP($B37,'Іменні заявки'!$A:$J,10,FALSE)</f>
        <v>Полева Н.І.</v>
      </c>
      <c r="O37" s="99">
        <f t="shared" si="0"/>
        <v>30</v>
      </c>
    </row>
    <row r="38" spans="1:15" ht="12.75" customHeight="1">
      <c r="A38" s="486">
        <v>5</v>
      </c>
      <c r="B38" s="54">
        <v>221</v>
      </c>
      <c r="C38" s="74" t="str">
        <f>VLOOKUP($B38,'Іменні заявки'!$A:$J,2,FALSE)</f>
        <v>Левчук Федір Володимирович</v>
      </c>
      <c r="D38" s="75">
        <f>VLOOKUP($B38,'Іменні заявки'!$A:$J,3,FALSE)</f>
        <v>25262</v>
      </c>
      <c r="E38" s="76" t="str">
        <f>VLOOKUP($B38,'Іменні заявки'!$A:$J,4,FALSE)</f>
        <v>б/р</v>
      </c>
      <c r="F38" s="507">
        <f>VLOOKUP($B38-RIGHT($B38,1),'Проток.рез.КСП'!A:W,23,FALSE)</f>
        <v>0.03575231481481481</v>
      </c>
      <c r="G38" s="510">
        <f>IF(ISERROR($F38),"—",IF(OR(ISTEXT($F38),$F38=""),"—",IF(VLOOKUP($B38-RIGHT($B38,1),'Проток.рез.КСП'!A:Y,25,FALSE)&lt;&gt;"",VLOOKUP($B38-RIGHT($B38,1),'Проток.рез.КСП'!A:Y,25,FALSE),ROUND($F38/$F$14*100,2))))</f>
        <v>144.41</v>
      </c>
      <c r="H38" s="513" t="str">
        <f>VLOOKUP($B38,'Іменні заявки'!$A:$J,8,FALSE)</f>
        <v>м.Нетішин</v>
      </c>
      <c r="I38" s="513" t="str">
        <f>VLOOKUP($B38,'Іменні заявки'!$A:$J,7,FALSE)</f>
        <v>м. Нетішина</v>
      </c>
      <c r="J38" s="513">
        <f>VLOOKUP($B38,'Іменні заявки'!$A:$J,9,FALSE)</f>
      </c>
      <c r="K38" s="53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ІІІ с.р.</v>
      </c>
      <c r="L38" s="77" t="str">
        <f>VLOOKUP($B38,'Іменні заявки'!$A:$J,10,FALSE)</f>
        <v>Левчук Ф.В.</v>
      </c>
      <c r="O38" s="99">
        <f t="shared" si="0"/>
        <v>0</v>
      </c>
    </row>
    <row r="39" spans="1:15" ht="12.75" customHeight="1">
      <c r="A39" s="487"/>
      <c r="B39" s="56">
        <v>223</v>
      </c>
      <c r="C39" s="79" t="str">
        <f>VLOOKUP($B39,'Іменні заявки'!$A:$J,2,FALSE)</f>
        <v>Кондратюк Іван Миколайович</v>
      </c>
      <c r="D39" s="80">
        <f>VLOOKUP($B39,'Іменні заявки'!$A:$J,3,FALSE)</f>
        <v>30281</v>
      </c>
      <c r="E39" s="81" t="str">
        <f>VLOOKUP($B39,'Іменні заявки'!$A:$J,4,FALSE)</f>
        <v>б/р</v>
      </c>
      <c r="F39" s="508"/>
      <c r="G39" s="511"/>
      <c r="H39" s="514"/>
      <c r="I39" s="514"/>
      <c r="J39" s="514"/>
      <c r="K39" s="55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ІІІ с.р.</v>
      </c>
      <c r="L39" s="82" t="str">
        <f>VLOOKUP($B39,'Іменні заявки'!$A:$J,10,FALSE)</f>
        <v>Левчук Ф.В.</v>
      </c>
      <c r="O39" s="99">
        <f t="shared" si="0"/>
        <v>0</v>
      </c>
    </row>
    <row r="40" spans="1:15" ht="12.75" customHeight="1">
      <c r="A40" s="487"/>
      <c r="B40" s="56">
        <v>224</v>
      </c>
      <c r="C40" s="79" t="str">
        <f>VLOOKUP($B40,'Іменні заявки'!$A:$J,2,FALSE)</f>
        <v>Зінчук Лариса Романівна</v>
      </c>
      <c r="D40" s="80">
        <f>VLOOKUP($B40,'Іменні заявки'!$A:$J,3,FALSE)</f>
        <v>26618</v>
      </c>
      <c r="E40" s="81" t="str">
        <f>VLOOKUP($B40,'Іменні заявки'!$A:$J,4,FALSE)</f>
        <v>б/р</v>
      </c>
      <c r="F40" s="508"/>
      <c r="G40" s="511"/>
      <c r="H40" s="514"/>
      <c r="I40" s="514"/>
      <c r="J40" s="514"/>
      <c r="K40" s="55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ІІІ с.р.</v>
      </c>
      <c r="L40" s="82" t="str">
        <f>VLOOKUP($B40,'Іменні заявки'!$A:$J,10,FALSE)</f>
        <v>Левчук Ф.В.</v>
      </c>
      <c r="O40" s="99">
        <f t="shared" si="0"/>
        <v>0</v>
      </c>
    </row>
    <row r="41" spans="1:15" ht="12.75" customHeight="1">
      <c r="A41" s="487"/>
      <c r="B41" s="56">
        <v>225</v>
      </c>
      <c r="C41" s="79" t="str">
        <f>VLOOKUP($B41,'Іменні заявки'!$A:$J,2,FALSE)</f>
        <v>Ткачук Тетяна Анатоліївна</v>
      </c>
      <c r="D41" s="80">
        <f>VLOOKUP($B41,'Іменні заявки'!$A:$J,3,FALSE)</f>
        <v>29871</v>
      </c>
      <c r="E41" s="81" t="str">
        <f>VLOOKUP($B41,'Іменні заявки'!$A:$J,4,FALSE)</f>
        <v>б/р</v>
      </c>
      <c r="F41" s="508"/>
      <c r="G41" s="511"/>
      <c r="H41" s="514"/>
      <c r="I41" s="514"/>
      <c r="J41" s="514"/>
      <c r="K41" s="55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ІІІ с.р.</v>
      </c>
      <c r="L41" s="82" t="str">
        <f>VLOOKUP($B41,'Іменні заявки'!$A:$J,10,FALSE)</f>
        <v>Левчук Ф.В.</v>
      </c>
      <c r="O41" s="99">
        <f t="shared" si="0"/>
        <v>0</v>
      </c>
    </row>
    <row r="42" spans="1:15" ht="12.75" customHeight="1">
      <c r="A42" s="487"/>
      <c r="B42" s="56">
        <v>226</v>
      </c>
      <c r="C42" s="79" t="str">
        <f>VLOOKUP($B42,'Іменні заявки'!$A:$J,2,FALSE)</f>
        <v>Піддубняк Віктор Анатолійович</v>
      </c>
      <c r="D42" s="80">
        <f>VLOOKUP($B42,'Іменні заявки'!$A:$J,3,FALSE)</f>
        <v>33978</v>
      </c>
      <c r="E42" s="81" t="str">
        <f>VLOOKUP($B42,'Іменні заявки'!$A:$J,4,FALSE)</f>
        <v>б/р</v>
      </c>
      <c r="F42" s="508"/>
      <c r="G42" s="511"/>
      <c r="H42" s="514"/>
      <c r="I42" s="514"/>
      <c r="J42" s="514"/>
      <c r="K42" s="55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ІІІ с.р.</v>
      </c>
      <c r="L42" s="82" t="str">
        <f>VLOOKUP($B42,'Іменні заявки'!$A:$J,10,FALSE)</f>
        <v>Левчук Ф.В.</v>
      </c>
      <c r="O42" s="99">
        <f t="shared" si="0"/>
        <v>0</v>
      </c>
    </row>
    <row r="43" spans="1:15" ht="12.75" customHeight="1" thickBot="1">
      <c r="A43" s="506"/>
      <c r="B43" s="83">
        <v>227</v>
      </c>
      <c r="C43" s="84" t="str">
        <f>VLOOKUP($B43,'Іменні заявки'!$A:$J,2,FALSE)</f>
        <v>Козачук Роман Іванович</v>
      </c>
      <c r="D43" s="85">
        <f>VLOOKUP($B43,'Іменні заявки'!$A:$J,3,FALSE)</f>
        <v>34513</v>
      </c>
      <c r="E43" s="86" t="str">
        <f>VLOOKUP($B43,'Іменні заявки'!$A:$J,4,FALSE)</f>
        <v>б/р</v>
      </c>
      <c r="F43" s="509"/>
      <c r="G43" s="512"/>
      <c r="H43" s="515"/>
      <c r="I43" s="515"/>
      <c r="J43" s="515"/>
      <c r="K43" s="87" t="str">
        <f>IF(AND(OR($S$11="V",$S$11="IV"),$S$12&gt;=200,$S$14&lt;&gt;"—",G38&lt;=$S$14),"КМСУ",IF(AND($S$15&lt;&gt;"—",G38&lt;=$S$15),"І с.р.",IF(AND($S$16&lt;&gt;"—",G38&lt;=$S$16),"ІІ с.р.",IF(AND($S$17&lt;&gt;"—",G38&lt;=$S$17),"ІІІ с.р.","—"))))</f>
        <v>ІІІ с.р.</v>
      </c>
      <c r="L43" s="88" t="str">
        <f>VLOOKUP($B43,'Іменні заявки'!$A:$J,10,FALSE)</f>
        <v>Левчук Ф.В.</v>
      </c>
      <c r="O43" s="99">
        <f t="shared" si="0"/>
        <v>0</v>
      </c>
    </row>
    <row r="44" spans="1:15" ht="12.75" customHeight="1">
      <c r="A44" s="486">
        <v>6</v>
      </c>
      <c r="B44" s="54">
        <v>171</v>
      </c>
      <c r="C44" s="74" t="str">
        <f>VLOOKUP($B44,'Іменні заявки'!$A:$J,2,FALSE)</f>
        <v>Іщук Олег Михайлович</v>
      </c>
      <c r="D44" s="75">
        <f>VLOOKUP($B44,'Іменні заявки'!$A:$J,3,FALSE)</f>
        <v>32118</v>
      </c>
      <c r="E44" s="76" t="str">
        <f>VLOOKUP($B44,'Іменні заявки'!$A:$J,4,FALSE)</f>
        <v>КМСУ</v>
      </c>
      <c r="F44" s="507">
        <f>VLOOKUP($B44-RIGHT($B44,1),'Проток.рез.КСП'!A:W,23,FALSE)</f>
        <v>0.08368055555555556</v>
      </c>
      <c r="G44" s="510">
        <f>IF(ISERROR($F44),"—",IF(OR(ISTEXT($F44),$F44=""),"—",IF(VLOOKUP($B44-RIGHT($B44,1),'Проток.рез.КСП'!A:Y,25,FALSE)&lt;&gt;"",VLOOKUP($B44-RIGHT($B44,1),'Проток.рез.КСП'!A:Y,25,FALSE),ROUND($F44/$F$14*100,2))))</f>
        <v>338.01</v>
      </c>
      <c r="H44" s="513" t="str">
        <f>VLOOKUP($B44,'Іменні заявки'!$A:$J,8,FALSE)</f>
        <v>Хмельницький р-н</v>
      </c>
      <c r="I44" s="513" t="str">
        <f>VLOOKUP($B44,'Іменні заявки'!$A:$J,7,FALSE)</f>
        <v>Хмельницького р-ну</v>
      </c>
      <c r="J44" s="513">
        <f>VLOOKUP($B44,'Іменні заявки'!$A:$J,9,FALSE)</f>
      </c>
      <c r="K44" s="53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—</v>
      </c>
      <c r="L44" s="77" t="str">
        <f>VLOOKUP($B44,'Іменні заявки'!$A:$J,10,FALSE)</f>
        <v>Іщук О.М.</v>
      </c>
      <c r="O44" s="99">
        <f t="shared" si="0"/>
        <v>30</v>
      </c>
    </row>
    <row r="45" spans="1:15" ht="12.75" customHeight="1">
      <c r="A45" s="487"/>
      <c r="B45" s="56">
        <v>172</v>
      </c>
      <c r="C45" s="79" t="str">
        <f>VLOOKUP($B45,'Іменні заявки'!$A:$J,2,FALSE)</f>
        <v>Гула Володимир Миколайович</v>
      </c>
      <c r="D45" s="80">
        <f>VLOOKUP($B45,'Іменні заявки'!$A:$J,3,FALSE)</f>
        <v>33534</v>
      </c>
      <c r="E45" s="81" t="str">
        <f>VLOOKUP($B45,'Іменні заявки'!$A:$J,4,FALSE)</f>
        <v>ІІ</v>
      </c>
      <c r="F45" s="508"/>
      <c r="G45" s="511"/>
      <c r="H45" s="514"/>
      <c r="I45" s="514"/>
      <c r="J45" s="514"/>
      <c r="K45" s="55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—</v>
      </c>
      <c r="L45" s="82" t="str">
        <f>VLOOKUP($B45,'Іменні заявки'!$A:$J,10,FALSE)</f>
        <v>Іщук О.М.</v>
      </c>
      <c r="O45" s="99">
        <f t="shared" si="0"/>
        <v>3</v>
      </c>
    </row>
    <row r="46" spans="1:15" ht="12.75" customHeight="1">
      <c r="A46" s="487"/>
      <c r="B46" s="56">
        <v>175</v>
      </c>
      <c r="C46" s="79" t="str">
        <f>VLOOKUP($B46,'Іменні заявки'!$A:$J,2,FALSE)</f>
        <v>Дубілей Андрій Валентинович</v>
      </c>
      <c r="D46" s="80">
        <f>VLOOKUP($B46,'Іменні заявки'!$A:$J,3,FALSE)</f>
        <v>32826</v>
      </c>
      <c r="E46" s="81" t="str">
        <f>VLOOKUP($B46,'Іменні заявки'!$A:$J,4,FALSE)</f>
        <v>І</v>
      </c>
      <c r="F46" s="508"/>
      <c r="G46" s="511"/>
      <c r="H46" s="514"/>
      <c r="I46" s="514"/>
      <c r="J46" s="514"/>
      <c r="K46" s="55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—</v>
      </c>
      <c r="L46" s="82" t="str">
        <f>VLOOKUP($B46,'Іменні заявки'!$A:$J,10,FALSE)</f>
        <v>Іщук О.М.</v>
      </c>
      <c r="O46" s="99">
        <f t="shared" si="0"/>
        <v>10</v>
      </c>
    </row>
    <row r="47" spans="1:15" ht="12.75" customHeight="1">
      <c r="A47" s="487"/>
      <c r="B47" s="56">
        <v>176</v>
      </c>
      <c r="C47" s="79" t="str">
        <f>VLOOKUP($B47,'Іменні заявки'!$A:$J,2,FALSE)</f>
        <v>Мельник Інна Віталіївна</v>
      </c>
      <c r="D47" s="80">
        <f>VLOOKUP($B47,'Іменні заявки'!$A:$J,3,FALSE)</f>
        <v>28008</v>
      </c>
      <c r="E47" s="81" t="str">
        <f>VLOOKUP($B47,'Іменні заявки'!$A:$J,4,FALSE)</f>
        <v>КМСУ</v>
      </c>
      <c r="F47" s="508"/>
      <c r="G47" s="511"/>
      <c r="H47" s="514"/>
      <c r="I47" s="514"/>
      <c r="J47" s="514"/>
      <c r="K47" s="55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—</v>
      </c>
      <c r="L47" s="82" t="str">
        <f>VLOOKUP($B47,'Іменні заявки'!$A:$J,10,FALSE)</f>
        <v>Іщук О.М.</v>
      </c>
      <c r="O47" s="99">
        <f t="shared" si="0"/>
        <v>30</v>
      </c>
    </row>
    <row r="48" spans="1:15" ht="12.75" customHeight="1">
      <c r="A48" s="487"/>
      <c r="B48" s="56">
        <v>177</v>
      </c>
      <c r="C48" s="79" t="str">
        <f>VLOOKUP($B48,'Іменні заявки'!$A:$J,2,FALSE)</f>
        <v>Кучер Олексій Васильович</v>
      </c>
      <c r="D48" s="80">
        <f>VLOOKUP($B48,'Іменні заявки'!$A:$J,3,FALSE)</f>
        <v>33266</v>
      </c>
      <c r="E48" s="81" t="str">
        <f>VLOOKUP($B48,'Іменні заявки'!$A:$J,4,FALSE)</f>
        <v>ІІ</v>
      </c>
      <c r="F48" s="508"/>
      <c r="G48" s="511"/>
      <c r="H48" s="514"/>
      <c r="I48" s="514"/>
      <c r="J48" s="514"/>
      <c r="K48" s="55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—</v>
      </c>
      <c r="L48" s="82" t="str">
        <f>VLOOKUP($B48,'Іменні заявки'!$A:$J,10,FALSE)</f>
        <v>Іщук О.М.</v>
      </c>
      <c r="O48" s="99">
        <f t="shared" si="0"/>
        <v>3</v>
      </c>
    </row>
    <row r="49" spans="1:15" ht="12.75" customHeight="1" thickBot="1">
      <c r="A49" s="506"/>
      <c r="B49" s="83">
        <v>178</v>
      </c>
      <c r="C49" s="84" t="str">
        <f>VLOOKUP($B49,'Іменні заявки'!$A:$J,2,FALSE)</f>
        <v>Пушкар Тетяна Василівна</v>
      </c>
      <c r="D49" s="85">
        <f>VLOOKUP($B49,'Іменні заявки'!$A:$J,3,FALSE)</f>
        <v>31169</v>
      </c>
      <c r="E49" s="86" t="str">
        <f>VLOOKUP($B49,'Іменні заявки'!$A:$J,4,FALSE)</f>
        <v>ІІ</v>
      </c>
      <c r="F49" s="509"/>
      <c r="G49" s="512"/>
      <c r="H49" s="515"/>
      <c r="I49" s="515"/>
      <c r="J49" s="515"/>
      <c r="K49" s="87" t="str">
        <f>IF(AND(OR($S$11="V",$S$11="IV"),$S$12&gt;=200,$S$14&lt;&gt;"—",G44&lt;=$S$14),"КМСУ",IF(AND($S$15&lt;&gt;"—",G44&lt;=$S$15),"І с.р.",IF(AND($S$16&lt;&gt;"—",G44&lt;=$S$16),"ІІ с.р.",IF(AND($S$17&lt;&gt;"—",G44&lt;=$S$17),"ІІІ с.р.","—"))))</f>
        <v>—</v>
      </c>
      <c r="L49" s="88" t="str">
        <f>VLOOKUP($B49,'Іменні заявки'!$A:$J,10,FALSE)</f>
        <v>Іщук О.М.</v>
      </c>
      <c r="O49" s="99">
        <f t="shared" si="0"/>
        <v>3</v>
      </c>
    </row>
    <row r="50" spans="1:15" ht="12.75" customHeight="1">
      <c r="A50" s="486">
        <v>7</v>
      </c>
      <c r="B50" s="54">
        <v>123</v>
      </c>
      <c r="C50" s="74" t="str">
        <f>VLOOKUP($B50,'Іменні заявки'!$A:$J,2,FALSE)</f>
        <v>Микитюк Тарас Олегович</v>
      </c>
      <c r="D50" s="75">
        <f>VLOOKUP($B50,'Іменні заявки'!$A:$J,3,FALSE)</f>
        <v>33645</v>
      </c>
      <c r="E50" s="76" t="str">
        <f>VLOOKUP($B50,'Іменні заявки'!$A:$J,4,FALSE)</f>
        <v>КМСУ</v>
      </c>
      <c r="F50" s="507">
        <f>VLOOKUP($B50-RIGHT($B50,1),'Проток.рез.КСП'!A:W,23,FALSE)</f>
        <v>0.09131944444444445</v>
      </c>
      <c r="G50" s="510">
        <f>IF(ISERROR($F50),"—",IF(OR(ISTEXT($F50),$F50=""),"—",IF(VLOOKUP($B50-RIGHT($B50,1),'Проток.рез.КСП'!A:Y,25,FALSE)&lt;&gt;"",VLOOKUP($B50-RIGHT($B50,1),'Проток.рез.КСП'!A:Y,25,FALSE),ROUND($F50/$F$14*100,2))))</f>
        <v>368.86</v>
      </c>
      <c r="H50" s="513" t="str">
        <f>VLOOKUP($B50,'Іменні заявки'!$A:$J,8,FALSE)</f>
        <v>Полонський р-н</v>
      </c>
      <c r="I50" s="513" t="str">
        <f>VLOOKUP($B50,'Іменні заявки'!$A:$J,7,FALSE)</f>
        <v>Полонського р-ну</v>
      </c>
      <c r="J50" s="513">
        <f>VLOOKUP($B50,'Іменні заявки'!$A:$J,9,FALSE)</f>
      </c>
      <c r="K50" s="53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—</v>
      </c>
      <c r="L50" s="77" t="str">
        <f>VLOOKUP($B50,'Іменні заявки'!$A:$J,10,FALSE)</f>
        <v>Цішевський О.Б.</v>
      </c>
      <c r="O50" s="78"/>
    </row>
    <row r="51" spans="1:15" ht="12.75" customHeight="1">
      <c r="A51" s="487"/>
      <c r="B51" s="56">
        <v>127</v>
      </c>
      <c r="C51" s="79" t="str">
        <f>VLOOKUP($B51,'Іменні заявки'!$A:$J,2,FALSE)</f>
        <v>Юрчук Максим Вікторович</v>
      </c>
      <c r="D51" s="80">
        <f>VLOOKUP($B51,'Іменні заявки'!$A:$J,3,FALSE)</f>
        <v>33436</v>
      </c>
      <c r="E51" s="81" t="str">
        <f>VLOOKUP($B51,'Іменні заявки'!$A:$J,4,FALSE)</f>
        <v>КМСУ</v>
      </c>
      <c r="F51" s="508"/>
      <c r="G51" s="511"/>
      <c r="H51" s="514"/>
      <c r="I51" s="514"/>
      <c r="J51" s="514"/>
      <c r="K51" s="55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—</v>
      </c>
      <c r="L51" s="82" t="str">
        <f>VLOOKUP($B51,'Іменні заявки'!$A:$J,10,FALSE)</f>
        <v>Цішевський О.Б.</v>
      </c>
      <c r="O51" s="78"/>
    </row>
    <row r="52" spans="1:15" ht="12.75" customHeight="1">
      <c r="A52" s="487"/>
      <c r="B52" s="56">
        <v>121</v>
      </c>
      <c r="C52" s="79" t="str">
        <f>VLOOKUP($B52,'Іменні заявки'!$A:$J,2,FALSE)</f>
        <v>Дзеба Святослав Володимирович</v>
      </c>
      <c r="D52" s="80">
        <f>VLOOKUP($B52,'Іменні заявки'!$A:$J,3,FALSE)</f>
        <v>24673</v>
      </c>
      <c r="E52" s="81" t="str">
        <f>VLOOKUP($B52,'Іменні заявки'!$A:$J,4,FALSE)</f>
        <v>КМСУ</v>
      </c>
      <c r="F52" s="508"/>
      <c r="G52" s="511"/>
      <c r="H52" s="514"/>
      <c r="I52" s="514"/>
      <c r="J52" s="514"/>
      <c r="K52" s="55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—</v>
      </c>
      <c r="L52" s="82" t="str">
        <f>VLOOKUP($B52,'Іменні заявки'!$A:$J,10,FALSE)</f>
        <v>Цішевський О.Б.</v>
      </c>
      <c r="O52" s="78"/>
    </row>
    <row r="53" spans="1:15" ht="12.75" customHeight="1">
      <c r="A53" s="487"/>
      <c r="B53" s="56">
        <v>122</v>
      </c>
      <c r="C53" s="79" t="str">
        <f>VLOOKUP($B53,'Іменні заявки'!$A:$J,2,FALSE)</f>
        <v>Рибачок Мирослава Анатоліївна</v>
      </c>
      <c r="D53" s="80">
        <f>VLOOKUP($B53,'Іменні заявки'!$A:$J,3,FALSE)</f>
        <v>34161</v>
      </c>
      <c r="E53" s="81" t="str">
        <f>VLOOKUP($B53,'Іменні заявки'!$A:$J,4,FALSE)</f>
        <v>ІІ</v>
      </c>
      <c r="F53" s="508"/>
      <c r="G53" s="511"/>
      <c r="H53" s="514"/>
      <c r="I53" s="514"/>
      <c r="J53" s="514"/>
      <c r="K53" s="55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—</v>
      </c>
      <c r="L53" s="82" t="str">
        <f>VLOOKUP($B53,'Іменні заявки'!$A:$J,10,FALSE)</f>
        <v>Цішевський О.Б.</v>
      </c>
      <c r="O53" s="78"/>
    </row>
    <row r="54" spans="1:15" ht="12.75" customHeight="1">
      <c r="A54" s="487"/>
      <c r="B54" s="56">
        <v>125</v>
      </c>
      <c r="C54" s="79" t="str">
        <f>VLOOKUP($B54,'Іменні заявки'!$A:$J,2,FALSE)</f>
        <v>Ковальчук Андрій Васильович</v>
      </c>
      <c r="D54" s="80">
        <f>VLOOKUP($B54,'Іменні заявки'!$A:$J,3,FALSE)</f>
        <v>35045</v>
      </c>
      <c r="E54" s="81" t="str">
        <f>VLOOKUP($B54,'Іменні заявки'!$A:$J,4,FALSE)</f>
        <v>ІІ</v>
      </c>
      <c r="F54" s="508"/>
      <c r="G54" s="511"/>
      <c r="H54" s="514"/>
      <c r="I54" s="514"/>
      <c r="J54" s="514"/>
      <c r="K54" s="55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—</v>
      </c>
      <c r="L54" s="82" t="str">
        <f>VLOOKUP($B54,'Іменні заявки'!$A:$J,10,FALSE)</f>
        <v>Цішевський О.Б.</v>
      </c>
      <c r="O54" s="78"/>
    </row>
    <row r="55" spans="1:15" ht="12.75" customHeight="1" thickBot="1">
      <c r="A55" s="506"/>
      <c r="B55" s="83">
        <v>124</v>
      </c>
      <c r="C55" s="84" t="str">
        <f>VLOOKUP($B55,'Іменні заявки'!$A:$J,2,FALSE)</f>
        <v>Цішевський Олександр Болеславович</v>
      </c>
      <c r="D55" s="85">
        <f>VLOOKUP($B55,'Іменні заявки'!$A:$J,3,FALSE)</f>
        <v>27346</v>
      </c>
      <c r="E55" s="86" t="str">
        <f>VLOOKUP($B55,'Іменні заявки'!$A:$J,4,FALSE)</f>
        <v>ІІ</v>
      </c>
      <c r="F55" s="509"/>
      <c r="G55" s="512"/>
      <c r="H55" s="515"/>
      <c r="I55" s="515"/>
      <c r="J55" s="515"/>
      <c r="K55" s="87" t="str">
        <f>IF(AND(OR($S$11="V",$S$11="IV"),$S$12&gt;=200,$S$14&lt;&gt;"—",G50&lt;=$S$14),"КМСУ",IF(AND($S$15&lt;&gt;"—",G50&lt;=$S$15),"І с.р.",IF(AND($S$16&lt;&gt;"—",G50&lt;=$S$16),"ІІ с.р.",IF(AND($S$17&lt;&gt;"—",G50&lt;=$S$17),"ІІІ с.р.","—"))))</f>
        <v>—</v>
      </c>
      <c r="L55" s="88" t="str">
        <f>VLOOKUP($B55,'Іменні заявки'!$A:$J,10,FALSE)</f>
        <v>Цішевський О.Б.</v>
      </c>
      <c r="O55" s="78"/>
    </row>
    <row r="56" spans="1:15" ht="12.75" customHeight="1">
      <c r="A56" s="486">
        <v>8</v>
      </c>
      <c r="B56" s="54">
        <v>141</v>
      </c>
      <c r="C56" s="74" t="str">
        <f>VLOOKUP($B56,'Іменні заявки'!$A:$J,2,FALSE)</f>
        <v>Кожевніков  Антон Володимирович</v>
      </c>
      <c r="D56" s="75">
        <f>VLOOKUP($B56,'Іменні заявки'!$A:$J,3,FALSE)</f>
        <v>30520</v>
      </c>
      <c r="E56" s="76" t="str">
        <f>VLOOKUP($B56,'Іменні заявки'!$A:$J,4,FALSE)</f>
        <v>б/р</v>
      </c>
      <c r="F56" s="507">
        <f>VLOOKUP($B56-RIGHT($B56,1),'Проток.рез.КСП'!A:W,23,FALSE)</f>
        <v>0.10520833333333333</v>
      </c>
      <c r="G56" s="510">
        <f>IF(ISERROR($F56),"—",IF(OR(ISTEXT($F56),$F56=""),"—",IF(VLOOKUP($B56-RIGHT($B56,1),'Проток.рез.КСП'!A:Y,25,FALSE)&lt;&gt;"",VLOOKUP($B56-RIGHT($B56,1),'Проток.рез.КСП'!A:Y,25,FALSE),ROUND($F56/$F$14*100,2))))</f>
        <v>424.96</v>
      </c>
      <c r="H56" s="513" t="str">
        <f>VLOOKUP($B56,'Іменні заявки'!$A:$J,8,FALSE)</f>
        <v>Старокостянтин. р-н</v>
      </c>
      <c r="I56" s="513" t="str">
        <f>VLOOKUP($B56,'Іменні заявки'!$A:$J,7,FALSE)</f>
        <v>Старокостянтин. р-ну</v>
      </c>
      <c r="J56" s="513">
        <f>VLOOKUP($B56,'Іменні заявки'!$A:$J,9,FALSE)</f>
      </c>
      <c r="K56" s="53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56" s="77" t="str">
        <f>VLOOKUP($B56,'Іменні заявки'!$A:$J,10,FALSE)</f>
        <v>Кожевніков А. В.</v>
      </c>
      <c r="O56" s="78"/>
    </row>
    <row r="57" spans="1:15" ht="12.75" customHeight="1">
      <c r="A57" s="487"/>
      <c r="B57" s="56">
        <v>142</v>
      </c>
      <c r="C57" s="79" t="str">
        <f>VLOOKUP($B57,'Іменні заявки'!$A:$J,2,FALSE)</f>
        <v>Маринчак Дмитро Іванович</v>
      </c>
      <c r="D57" s="80">
        <f>VLOOKUP($B57,'Іменні заявки'!$A:$J,3,FALSE)</f>
        <v>32818</v>
      </c>
      <c r="E57" s="81" t="str">
        <f>VLOOKUP($B57,'Іменні заявки'!$A:$J,4,FALSE)</f>
        <v>б/р</v>
      </c>
      <c r="F57" s="508"/>
      <c r="G57" s="511"/>
      <c r="H57" s="514"/>
      <c r="I57" s="514"/>
      <c r="J57" s="514"/>
      <c r="K57" s="55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57" s="82" t="str">
        <f>VLOOKUP($B57,'Іменні заявки'!$A:$J,10,FALSE)</f>
        <v>Кожевніков А. В.</v>
      </c>
      <c r="O57" s="78"/>
    </row>
    <row r="58" spans="1:15" ht="12.75" customHeight="1">
      <c r="A58" s="487"/>
      <c r="B58" s="56">
        <v>143</v>
      </c>
      <c r="C58" s="79" t="str">
        <f>VLOOKUP($B58,'Іменні заявки'!$A:$J,2,FALSE)</f>
        <v>Пастух Олександр Васильович</v>
      </c>
      <c r="D58" s="80">
        <f>VLOOKUP($B58,'Іменні заявки'!$A:$J,3,FALSE)</f>
        <v>33228</v>
      </c>
      <c r="E58" s="81" t="str">
        <f>VLOOKUP($B58,'Іменні заявки'!$A:$J,4,FALSE)</f>
        <v>б/р</v>
      </c>
      <c r="F58" s="508"/>
      <c r="G58" s="511"/>
      <c r="H58" s="514"/>
      <c r="I58" s="514"/>
      <c r="J58" s="514"/>
      <c r="K58" s="55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58" s="82" t="str">
        <f>VLOOKUP($B58,'Іменні заявки'!$A:$J,10,FALSE)</f>
        <v>Кожевніков А. В.</v>
      </c>
      <c r="O58" s="78"/>
    </row>
    <row r="59" spans="1:15" ht="12.75" customHeight="1">
      <c r="A59" s="487"/>
      <c r="B59" s="56">
        <v>144</v>
      </c>
      <c r="C59" s="79" t="str">
        <f>VLOOKUP($B59,'Іменні заявки'!$A:$J,2,FALSE)</f>
        <v>Поліщук Андрій Олександрович</v>
      </c>
      <c r="D59" s="80">
        <f>VLOOKUP($B59,'Іменні заявки'!$A:$J,3,FALSE)</f>
        <v>32474</v>
      </c>
      <c r="E59" s="81" t="str">
        <f>VLOOKUP($B59,'Іменні заявки'!$A:$J,4,FALSE)</f>
        <v>б/р</v>
      </c>
      <c r="F59" s="508"/>
      <c r="G59" s="511"/>
      <c r="H59" s="514"/>
      <c r="I59" s="514"/>
      <c r="J59" s="514"/>
      <c r="K59" s="55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59" s="82" t="str">
        <f>VLOOKUP($B59,'Іменні заявки'!$A:$J,10,FALSE)</f>
        <v>Кожевніков А. В.</v>
      </c>
      <c r="O59" s="78"/>
    </row>
    <row r="60" spans="1:15" ht="12.75" customHeight="1">
      <c r="A60" s="487"/>
      <c r="B60" s="56">
        <v>145</v>
      </c>
      <c r="C60" s="79" t="str">
        <f>VLOOKUP($B60,'Іменні заявки'!$A:$J,2,FALSE)</f>
        <v>Савчук Ганна Григорівна</v>
      </c>
      <c r="D60" s="80">
        <f>VLOOKUP($B60,'Іменні заявки'!$A:$J,3,FALSE)</f>
        <v>33624</v>
      </c>
      <c r="E60" s="81" t="str">
        <f>VLOOKUP($B60,'Іменні заявки'!$A:$J,4,FALSE)</f>
        <v>б/р</v>
      </c>
      <c r="F60" s="508"/>
      <c r="G60" s="511"/>
      <c r="H60" s="514"/>
      <c r="I60" s="514"/>
      <c r="J60" s="514"/>
      <c r="K60" s="55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60" s="82" t="str">
        <f>VLOOKUP($B60,'Іменні заявки'!$A:$J,10,FALSE)</f>
        <v>Кожевніков А. В.</v>
      </c>
      <c r="O60" s="78"/>
    </row>
    <row r="61" spans="1:15" ht="12.75" customHeight="1" thickBot="1">
      <c r="A61" s="506"/>
      <c r="B61" s="83">
        <v>146</v>
      </c>
      <c r="C61" s="84" t="str">
        <f>VLOOKUP($B61,'Іменні заявки'!$A:$J,2,FALSE)</f>
        <v>Войтенко Сергій Анатолійович</v>
      </c>
      <c r="D61" s="85">
        <f>VLOOKUP($B61,'Іменні заявки'!$A:$J,3,FALSE)</f>
        <v>32420</v>
      </c>
      <c r="E61" s="86" t="str">
        <f>VLOOKUP($B61,'Іменні заявки'!$A:$J,4,FALSE)</f>
        <v>б/р</v>
      </c>
      <c r="F61" s="509"/>
      <c r="G61" s="512"/>
      <c r="H61" s="515"/>
      <c r="I61" s="515"/>
      <c r="J61" s="515"/>
      <c r="K61" s="87" t="str">
        <f>IF(AND(OR($S$11="V",$S$11="IV"),$S$12&gt;=200,$S$14&lt;&gt;"—",G56&lt;=$S$14),"КМСУ",IF(AND($S$15&lt;&gt;"—",G56&lt;=$S$15),"І с.р.",IF(AND($S$16&lt;&gt;"—",G56&lt;=$S$16),"ІІ с.р.",IF(AND($S$17&lt;&gt;"—",G56&lt;=$S$17),"ІІІ с.р.","—"))))</f>
        <v>—</v>
      </c>
      <c r="L61" s="88" t="str">
        <f>VLOOKUP($B61,'Іменні заявки'!$A:$J,10,FALSE)</f>
        <v>Кожевніков А. В.</v>
      </c>
      <c r="O61" s="78"/>
    </row>
    <row r="62" spans="1:15" ht="12.75" customHeight="1">
      <c r="A62" s="486">
        <v>9</v>
      </c>
      <c r="B62" s="54">
        <v>261</v>
      </c>
      <c r="C62" s="74" t="str">
        <f>VLOOKUP($B62,'Іменні заявки'!$A:$J,2,FALSE)</f>
        <v>Загоронюк Юрій Олександрович</v>
      </c>
      <c r="D62" s="75">
        <f>VLOOKUP($B62,'Іменні заявки'!$A:$J,3,FALSE)</f>
        <v>31057</v>
      </c>
      <c r="E62" s="76" t="str">
        <f>VLOOKUP($B62,'Іменні заявки'!$A:$J,4,FALSE)</f>
        <v>І</v>
      </c>
      <c r="F62" s="507">
        <f>VLOOKUP($B62-RIGHT($B62,1),'Проток.рез.КСП'!A:W,23,FALSE)</f>
        <v>0.14791666666666667</v>
      </c>
      <c r="G62" s="510">
        <f>IF(ISERROR($F62),"—",IF(OR(ISTEXT($F62),$F62=""),"—",IF(VLOOKUP($B62-RIGHT($B62,1),'Проток.рез.КСП'!A:Y,25,FALSE)&lt;&gt;"",VLOOKUP($B62-RIGHT($B62,1),'Проток.рез.КСП'!A:Y,25,FALSE),ROUND($F62/$F$14*100,2))))</f>
        <v>597.48</v>
      </c>
      <c r="H62" s="513" t="str">
        <f>VLOOKUP($B62,'Іменні заявки'!$A:$J,8,FALSE)</f>
        <v>м.Шепетівка</v>
      </c>
      <c r="I62" s="513" t="str">
        <f>VLOOKUP($B62,'Іменні заявки'!$A:$J,7,FALSE)</f>
        <v>м.Шепетівки</v>
      </c>
      <c r="J62" s="513">
        <f>VLOOKUP($B62,'Іменні заявки'!$A:$J,9,FALSE)</f>
      </c>
      <c r="K62" s="53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2" s="77" t="str">
        <f>VLOOKUP($B62,'Іменні заявки'!$A:$J,10,FALSE)</f>
        <v>Загоронюк Ю.О.</v>
      </c>
      <c r="O62" s="78"/>
    </row>
    <row r="63" spans="1:15" ht="12.75" customHeight="1">
      <c r="A63" s="487"/>
      <c r="B63" s="56">
        <v>266</v>
      </c>
      <c r="C63" s="79" t="str">
        <f>VLOOKUP($B63,'Іменні заявки'!$A:$J,2,FALSE)</f>
        <v>Комкар Володимир Сергійович</v>
      </c>
      <c r="D63" s="80">
        <f>VLOOKUP($B63,'Іменні заявки'!$A:$J,3,FALSE)</f>
        <v>31241</v>
      </c>
      <c r="E63" s="81" t="str">
        <f>VLOOKUP($B63,'Іменні заявки'!$A:$J,4,FALSE)</f>
        <v>І</v>
      </c>
      <c r="F63" s="508"/>
      <c r="G63" s="511"/>
      <c r="H63" s="514"/>
      <c r="I63" s="514"/>
      <c r="J63" s="514"/>
      <c r="K63" s="55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3" s="82" t="str">
        <f>VLOOKUP($B63,'Іменні заявки'!$A:$J,10,FALSE)</f>
        <v>Загоронюк Ю.О.</v>
      </c>
      <c r="O63" s="78"/>
    </row>
    <row r="64" spans="1:15" ht="12.75" customHeight="1">
      <c r="A64" s="487"/>
      <c r="B64" s="56">
        <v>262</v>
      </c>
      <c r="C64" s="79" t="str">
        <f>VLOOKUP($B64,'Іменні заявки'!$A:$J,2,FALSE)</f>
        <v>Гетманчук Олена Володимирівна</v>
      </c>
      <c r="D64" s="80">
        <f>VLOOKUP($B64,'Іменні заявки'!$A:$J,3,FALSE)</f>
        <v>29033</v>
      </c>
      <c r="E64" s="81" t="str">
        <f>VLOOKUP($B64,'Іменні заявки'!$A:$J,4,FALSE)</f>
        <v>ІІІ</v>
      </c>
      <c r="F64" s="508"/>
      <c r="G64" s="511"/>
      <c r="H64" s="514"/>
      <c r="I64" s="514"/>
      <c r="J64" s="514"/>
      <c r="K64" s="55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4" s="82" t="str">
        <f>VLOOKUP($B64,'Іменні заявки'!$A:$J,10,FALSE)</f>
        <v>Загоронюк Ю.О.</v>
      </c>
      <c r="O64" s="78"/>
    </row>
    <row r="65" spans="1:15" ht="12.75" customHeight="1">
      <c r="A65" s="487"/>
      <c r="B65" s="56">
        <v>263</v>
      </c>
      <c r="C65" s="79" t="str">
        <f>VLOOKUP($B65,'Іменні заявки'!$A:$J,2,FALSE)</f>
        <v>Чілій Володимир Анатолійович</v>
      </c>
      <c r="D65" s="80">
        <f>VLOOKUP($B65,'Іменні заявки'!$A:$J,3,FALSE)</f>
        <v>31686</v>
      </c>
      <c r="E65" s="81" t="str">
        <f>VLOOKUP($B65,'Іменні заявки'!$A:$J,4,FALSE)</f>
        <v>ІІІ</v>
      </c>
      <c r="F65" s="508"/>
      <c r="G65" s="511"/>
      <c r="H65" s="514"/>
      <c r="I65" s="514"/>
      <c r="J65" s="514"/>
      <c r="K65" s="55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5" s="82" t="str">
        <f>VLOOKUP($B65,'Іменні заявки'!$A:$J,10,FALSE)</f>
        <v>Загоронюк Ю.О.</v>
      </c>
      <c r="O65" s="78"/>
    </row>
    <row r="66" spans="1:15" ht="12.75" customHeight="1">
      <c r="A66" s="487"/>
      <c r="B66" s="56">
        <v>265</v>
      </c>
      <c r="C66" s="79" t="str">
        <f>VLOOKUP($B66,'Іменні заявки'!$A:$J,2,FALSE)</f>
        <v>Мельник Анастасія Олександрівна</v>
      </c>
      <c r="D66" s="80">
        <f>VLOOKUP($B66,'Іменні заявки'!$A:$J,3,FALSE)</f>
        <v>31802</v>
      </c>
      <c r="E66" s="81" t="str">
        <f>VLOOKUP($B66,'Іменні заявки'!$A:$J,4,FALSE)</f>
        <v>ІІІ</v>
      </c>
      <c r="F66" s="508"/>
      <c r="G66" s="511"/>
      <c r="H66" s="514"/>
      <c r="I66" s="514"/>
      <c r="J66" s="514"/>
      <c r="K66" s="55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6" s="82" t="str">
        <f>VLOOKUP($B66,'Іменні заявки'!$A:$J,10,FALSE)</f>
        <v>Загоронюк Ю.О.</v>
      </c>
      <c r="O66" s="78"/>
    </row>
    <row r="67" spans="1:15" ht="12.75" customHeight="1" thickBot="1">
      <c r="A67" s="506"/>
      <c r="B67" s="83">
        <v>267</v>
      </c>
      <c r="C67" s="84" t="str">
        <f>VLOOKUP($B67,'Іменні заявки'!$A:$J,2,FALSE)</f>
        <v>Самойлюк Володимир Трохимович</v>
      </c>
      <c r="D67" s="85">
        <f>VLOOKUP($B67,'Іменні заявки'!$A:$J,3,FALSE)</f>
        <v>31484</v>
      </c>
      <c r="E67" s="86" t="str">
        <f>VLOOKUP($B67,'Іменні заявки'!$A:$J,4,FALSE)</f>
        <v>І</v>
      </c>
      <c r="F67" s="509"/>
      <c r="G67" s="512"/>
      <c r="H67" s="515"/>
      <c r="I67" s="515"/>
      <c r="J67" s="515"/>
      <c r="K67" s="87" t="str">
        <f>IF(AND(OR($S$11="V",$S$11="IV"),$S$12&gt;=200,$S$14&lt;&gt;"—",G62&lt;=$S$14),"КМСУ",IF(AND($S$15&lt;&gt;"—",G62&lt;=$S$15),"І с.р.",IF(AND($S$16&lt;&gt;"—",G62&lt;=$S$16),"ІІ с.р.",IF(AND($S$17&lt;&gt;"—",G62&lt;=$S$17),"ІІІ с.р.","—"))))</f>
        <v>—</v>
      </c>
      <c r="L67" s="88" t="str">
        <f>VLOOKUP($B67,'Іменні заявки'!$A:$J,10,FALSE)</f>
        <v>Загоронюк Ю.О.</v>
      </c>
      <c r="O67" s="78"/>
    </row>
    <row r="68" spans="1:15" ht="12.75" customHeight="1">
      <c r="A68" s="486">
        <v>10</v>
      </c>
      <c r="B68" s="54">
        <v>181</v>
      </c>
      <c r="C68" s="74" t="str">
        <f>VLOOKUP($B68,'Іменні заявки'!$A:$J,2,FALSE)</f>
        <v>Василинчук Сергій Олександрович</v>
      </c>
      <c r="D68" s="75">
        <f>VLOOKUP($B68,'Іменні заявки'!$A:$J,3,FALSE)</f>
        <v>30744</v>
      </c>
      <c r="E68" s="76" t="str">
        <f>VLOOKUP($B68,'Іменні заявки'!$A:$J,4,FALSE)</f>
        <v>ІІ</v>
      </c>
      <c r="F68" s="507">
        <f>VLOOKUP($B68-RIGHT($B68,1),'Проток.рез.КСП'!A:W,23,FALSE)</f>
        <v>0.15694444444444444</v>
      </c>
      <c r="G68" s="510">
        <f>IF(ISERROR($F68),"—",IF(OR(ISTEXT($F68),$F68=""),"—",IF(VLOOKUP($B68-RIGHT($B68,1),'Проток.рез.КСП'!A:Y,25,FALSE)&lt;&gt;"",VLOOKUP($B68-RIGHT($B68,1),'Проток.рез.КСП'!A:Y,25,FALSE),ROUND($F68/$F$14*100,2))))</f>
        <v>633.94</v>
      </c>
      <c r="H68" s="513" t="str">
        <f>VLOOKUP($B68,'Іменні заявки'!$A:$J,8,FALSE)</f>
        <v>Чемеровецький р-н</v>
      </c>
      <c r="I68" s="513" t="str">
        <f>VLOOKUP($B68,'Іменні заявки'!$A:$J,7,FALSE)</f>
        <v>Чемеровецького р-ну</v>
      </c>
      <c r="J68" s="513">
        <f>VLOOKUP($B68,'Іменні заявки'!$A:$J,9,FALSE)</f>
      </c>
      <c r="K68" s="53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68" s="77" t="str">
        <f>VLOOKUP($B68,'Іменні заявки'!$A:$J,10,FALSE)</f>
        <v>Герич В.В.</v>
      </c>
      <c r="O68" s="78"/>
    </row>
    <row r="69" spans="1:15" ht="12.75" customHeight="1">
      <c r="A69" s="487"/>
      <c r="B69" s="56">
        <v>182</v>
      </c>
      <c r="C69" s="79" t="str">
        <f>VLOOKUP($B69,'Іменні заявки'!$A:$J,2,FALSE)</f>
        <v>Чорнюк Андрій Валерійович</v>
      </c>
      <c r="D69" s="80">
        <f>VLOOKUP($B69,'Іменні заявки'!$A:$J,3,FALSE)</f>
        <v>31862</v>
      </c>
      <c r="E69" s="81" t="str">
        <f>VLOOKUP($B69,'Іменні заявки'!$A:$J,4,FALSE)</f>
        <v>ІІ</v>
      </c>
      <c r="F69" s="508"/>
      <c r="G69" s="511"/>
      <c r="H69" s="514"/>
      <c r="I69" s="514"/>
      <c r="J69" s="514"/>
      <c r="K69" s="55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69" s="82" t="str">
        <f>VLOOKUP($B69,'Іменні заявки'!$A:$J,10,FALSE)</f>
        <v>Герич В.В.</v>
      </c>
      <c r="O69" s="78"/>
    </row>
    <row r="70" spans="1:15" ht="12.75" customHeight="1">
      <c r="A70" s="487"/>
      <c r="B70" s="56">
        <v>183</v>
      </c>
      <c r="C70" s="79" t="str">
        <f>VLOOKUP($B70,'Іменні заявки'!$A:$J,2,FALSE)</f>
        <v>Герич Володимир Володимирович</v>
      </c>
      <c r="D70" s="80">
        <f>VLOOKUP($B70,'Іменні заявки'!$A:$J,3,FALSE)</f>
        <v>30932</v>
      </c>
      <c r="E70" s="81" t="str">
        <f>VLOOKUP($B70,'Іменні заявки'!$A:$J,4,FALSE)</f>
        <v>ІІ</v>
      </c>
      <c r="F70" s="508"/>
      <c r="G70" s="511"/>
      <c r="H70" s="514"/>
      <c r="I70" s="514"/>
      <c r="J70" s="514"/>
      <c r="K70" s="55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70" s="82" t="str">
        <f>VLOOKUP($B70,'Іменні заявки'!$A:$J,10,FALSE)</f>
        <v>Герич В.В.</v>
      </c>
      <c r="O70" s="78"/>
    </row>
    <row r="71" spans="1:15" ht="12.75" customHeight="1">
      <c r="A71" s="487"/>
      <c r="B71" s="56">
        <v>184</v>
      </c>
      <c r="C71" s="79" t="str">
        <f>VLOOKUP($B71,'Іменні заявки'!$A:$J,2,FALSE)</f>
        <v>Слободян Тетяна Михайлівна</v>
      </c>
      <c r="D71" s="80">
        <f>VLOOKUP($B71,'Іменні заявки'!$A:$J,3,FALSE)</f>
        <v>32007</v>
      </c>
      <c r="E71" s="81" t="str">
        <f>VLOOKUP($B71,'Іменні заявки'!$A:$J,4,FALSE)</f>
        <v>ІІ</v>
      </c>
      <c r="F71" s="508"/>
      <c r="G71" s="511"/>
      <c r="H71" s="514"/>
      <c r="I71" s="514"/>
      <c r="J71" s="514"/>
      <c r="K71" s="55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71" s="82" t="str">
        <f>VLOOKUP($B71,'Іменні заявки'!$A:$J,10,FALSE)</f>
        <v>Герич В.В.</v>
      </c>
      <c r="O71" s="78"/>
    </row>
    <row r="72" spans="1:15" ht="12.75" customHeight="1">
      <c r="A72" s="487"/>
      <c r="B72" s="56">
        <v>185</v>
      </c>
      <c r="C72" s="79" t="str">
        <f>VLOOKUP($B72,'Іменні заявки'!$A:$J,2,FALSE)</f>
        <v>Цісар Марина Володимирівна</v>
      </c>
      <c r="D72" s="80">
        <f>VLOOKUP($B72,'Іменні заявки'!$A:$J,3,FALSE)</f>
        <v>33547</v>
      </c>
      <c r="E72" s="81" t="str">
        <f>VLOOKUP($B72,'Іменні заявки'!$A:$J,4,FALSE)</f>
        <v>ІІ</v>
      </c>
      <c r="F72" s="508"/>
      <c r="G72" s="511"/>
      <c r="H72" s="514"/>
      <c r="I72" s="514"/>
      <c r="J72" s="514"/>
      <c r="K72" s="55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72" s="82" t="str">
        <f>VLOOKUP($B72,'Іменні заявки'!$A:$J,10,FALSE)</f>
        <v>Герич В.В.</v>
      </c>
      <c r="O72" s="78"/>
    </row>
    <row r="73" spans="1:15" ht="12.75" customHeight="1" thickBot="1">
      <c r="A73" s="506"/>
      <c r="B73" s="83">
        <v>188</v>
      </c>
      <c r="C73" s="84" t="str">
        <f>VLOOKUP($B73,'Іменні заявки'!$A:$J,2,FALSE)</f>
        <v>Заяць Роман Володимирович</v>
      </c>
      <c r="D73" s="85">
        <f>VLOOKUP($B73,'Іменні заявки'!$A:$J,3,FALSE)</f>
        <v>33331</v>
      </c>
      <c r="E73" s="86" t="str">
        <f>VLOOKUP($B73,'Іменні заявки'!$A:$J,4,FALSE)</f>
        <v>б/р</v>
      </c>
      <c r="F73" s="509"/>
      <c r="G73" s="512"/>
      <c r="H73" s="515"/>
      <c r="I73" s="515"/>
      <c r="J73" s="515"/>
      <c r="K73" s="87" t="str">
        <f>IF(AND(OR($S$11="V",$S$11="IV"),$S$12&gt;=200,$S$14&lt;&gt;"—",G68&lt;=$S$14),"КМСУ",IF(AND($S$15&lt;&gt;"—",G68&lt;=$S$15),"І с.р.",IF(AND($S$16&lt;&gt;"—",G68&lt;=$S$16),"ІІ с.р.",IF(AND($S$17&lt;&gt;"—",G68&lt;=$S$17),"ІІІ с.р.","—"))))</f>
        <v>—</v>
      </c>
      <c r="L73" s="88" t="str">
        <f>VLOOKUP($B73,'Іменні заявки'!$A:$J,10,FALSE)</f>
        <v>Герич В.В.</v>
      </c>
      <c r="O73" s="78"/>
    </row>
    <row r="74" spans="1:12" ht="12.75" customHeight="1">
      <c r="A74" s="486">
        <v>11</v>
      </c>
      <c r="B74" s="54">
        <v>51</v>
      </c>
      <c r="C74" s="74" t="str">
        <f>VLOOKUP($B74,'Іменні заявки'!$A:$J,2,FALSE)</f>
        <v>Скорбатюк Олег Олегович</v>
      </c>
      <c r="D74" s="75">
        <f>VLOOKUP($B74,'Іменні заявки'!$A:$J,3,FALSE)</f>
        <v>31793</v>
      </c>
      <c r="E74" s="76" t="str">
        <f>VLOOKUP($B74,'Іменні заявки'!$A:$J,4,FALSE)</f>
        <v>ІІ</v>
      </c>
      <c r="F74" s="507">
        <f>VLOOKUP($B74-RIGHT($B74,1),'Проток.рез.КСП'!A:W,23,FALSE)</f>
        <v>0.17291666666666666</v>
      </c>
      <c r="G74" s="510">
        <f>IF(ISERROR($F74),"—",IF(OR(ISTEXT($F74),$F74=""),"—",IF(VLOOKUP($B74-RIGHT($B74,1),'Проток.рез.КСП'!A:Y,25,FALSE)&lt;&gt;"",VLOOKUP($B74-RIGHT($B74,1),'Проток.рез.КСП'!A:Y,25,FALSE),ROUND($F74/$F$14*100,2))))</f>
        <v>698.46</v>
      </c>
      <c r="H74" s="513" t="str">
        <f>VLOOKUP($B74,'Іменні заявки'!$A:$J,8,FALSE)</f>
        <v>Деражнянський р-н</v>
      </c>
      <c r="I74" s="513" t="str">
        <f>VLOOKUP($B74,'Іменні заявки'!$A:$J,7,FALSE)</f>
        <v>Деражнянського р-ну</v>
      </c>
      <c r="J74" s="513">
        <f>VLOOKUP($B74,'Іменні заявки'!$A:$J,9,FALSE)</f>
      </c>
      <c r="K74" s="53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4" s="77" t="str">
        <f>VLOOKUP($B74,'Іменні заявки'!$A:$J,10,FALSE)</f>
        <v>Ніженський О.В.</v>
      </c>
    </row>
    <row r="75" spans="1:12" ht="12.75" customHeight="1">
      <c r="A75" s="487"/>
      <c r="B75" s="56">
        <v>52</v>
      </c>
      <c r="C75" s="79" t="str">
        <f>VLOOKUP($B75,'Іменні заявки'!$A:$J,2,FALSE)</f>
        <v>Савіцька Юлія Віталіївна</v>
      </c>
      <c r="D75" s="80">
        <f>VLOOKUP($B75,'Іменні заявки'!$A:$J,3,FALSE)</f>
        <v>32364</v>
      </c>
      <c r="E75" s="81" t="str">
        <f>VLOOKUP($B75,'Іменні заявки'!$A:$J,4,FALSE)</f>
        <v>б/р</v>
      </c>
      <c r="F75" s="508"/>
      <c r="G75" s="511"/>
      <c r="H75" s="514"/>
      <c r="I75" s="514"/>
      <c r="J75" s="514"/>
      <c r="K75" s="55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5" s="82" t="str">
        <f>VLOOKUP($B75,'Іменні заявки'!$A:$J,10,FALSE)</f>
        <v>Ніженський О.В.</v>
      </c>
    </row>
    <row r="76" spans="1:12" ht="12.75" customHeight="1">
      <c r="A76" s="487"/>
      <c r="B76" s="56">
        <v>53</v>
      </c>
      <c r="C76" s="79" t="str">
        <f>VLOOKUP($B76,'Іменні заявки'!$A:$J,2,FALSE)</f>
        <v>Мондра Наталія Василівна</v>
      </c>
      <c r="D76" s="80">
        <f>VLOOKUP($B76,'Іменні заявки'!$A:$J,3,FALSE)</f>
        <v>33672</v>
      </c>
      <c r="E76" s="81" t="str">
        <f>VLOOKUP($B76,'Іменні заявки'!$A:$J,4,FALSE)</f>
        <v>б/р</v>
      </c>
      <c r="F76" s="508"/>
      <c r="G76" s="511"/>
      <c r="H76" s="514"/>
      <c r="I76" s="514"/>
      <c r="J76" s="514"/>
      <c r="K76" s="55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6" s="82" t="str">
        <f>VLOOKUP($B76,'Іменні заявки'!$A:$J,10,FALSE)</f>
        <v>Ніженський О.В.</v>
      </c>
    </row>
    <row r="77" spans="1:12" ht="12.75" customHeight="1">
      <c r="A77" s="487"/>
      <c r="B77" s="56">
        <v>54</v>
      </c>
      <c r="C77" s="79" t="str">
        <f>VLOOKUP($B77,'Іменні заявки'!$A:$J,2,FALSE)</f>
        <v>Яворський Валерій Юрійович</v>
      </c>
      <c r="D77" s="80">
        <f>VLOOKUP($B77,'Іменні заявки'!$A:$J,3,FALSE)</f>
        <v>32799</v>
      </c>
      <c r="E77" s="81" t="str">
        <f>VLOOKUP($B77,'Іменні заявки'!$A:$J,4,FALSE)</f>
        <v>б/р</v>
      </c>
      <c r="F77" s="508"/>
      <c r="G77" s="511"/>
      <c r="H77" s="514"/>
      <c r="I77" s="514"/>
      <c r="J77" s="514"/>
      <c r="K77" s="55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7" s="82" t="str">
        <f>VLOOKUP($B77,'Іменні заявки'!$A:$J,10,FALSE)</f>
        <v>Ніженський О.В.</v>
      </c>
    </row>
    <row r="78" spans="1:12" ht="12.75" customHeight="1">
      <c r="A78" s="487"/>
      <c r="B78" s="56">
        <v>56</v>
      </c>
      <c r="C78" s="79" t="str">
        <f>VLOOKUP($B78,'Іменні заявки'!$A:$J,2,FALSE)</f>
        <v>Мазур Віталій Миколайович</v>
      </c>
      <c r="D78" s="80">
        <f>VLOOKUP($B78,'Іменні заявки'!$A:$J,3,FALSE)</f>
        <v>28868</v>
      </c>
      <c r="E78" s="81" t="str">
        <f>VLOOKUP($B78,'Іменні заявки'!$A:$J,4,FALSE)</f>
        <v>І</v>
      </c>
      <c r="F78" s="508"/>
      <c r="G78" s="511"/>
      <c r="H78" s="514"/>
      <c r="I78" s="514"/>
      <c r="J78" s="514"/>
      <c r="K78" s="55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8" s="82" t="str">
        <f>VLOOKUP($B78,'Іменні заявки'!$A:$J,10,FALSE)</f>
        <v>Ніженський О.В.</v>
      </c>
    </row>
    <row r="79" spans="1:12" ht="12.75" customHeight="1" thickBot="1">
      <c r="A79" s="506"/>
      <c r="B79" s="83">
        <v>57</v>
      </c>
      <c r="C79" s="84" t="str">
        <f>VLOOKUP($B79,'Іменні заявки'!$A:$J,2,FALSE)</f>
        <v>Дубровський Андрій Іванович</v>
      </c>
      <c r="D79" s="85">
        <f>VLOOKUP($B79,'Іменні заявки'!$A:$J,3,FALSE)</f>
        <v>33116</v>
      </c>
      <c r="E79" s="86" t="str">
        <f>VLOOKUP($B79,'Іменні заявки'!$A:$J,4,FALSE)</f>
        <v>б/р</v>
      </c>
      <c r="F79" s="509"/>
      <c r="G79" s="512"/>
      <c r="H79" s="515"/>
      <c r="I79" s="515"/>
      <c r="J79" s="515"/>
      <c r="K79" s="87" t="str">
        <f>IF(AND(OR($S$11="V",$S$11="IV"),$S$12&gt;=200,$S$14&lt;&gt;"—",G74&lt;=$S$14),"КМСУ",IF(AND($S$15&lt;&gt;"—",G74&lt;=$S$15),"І с.р.",IF(AND($S$16&lt;&gt;"—",G74&lt;=$S$16),"ІІ с.р.",IF(AND($S$17&lt;&gt;"—",G74&lt;=$S$17),"ІІІ с.р.","—"))))</f>
        <v>—</v>
      </c>
      <c r="L79" s="88" t="str">
        <f>VLOOKUP($B79,'Іменні заявки'!$A:$J,10,FALSE)</f>
        <v>Ніженський О.В.</v>
      </c>
    </row>
    <row r="80" spans="1:12" ht="12.75" customHeight="1">
      <c r="A80" s="486">
        <v>12</v>
      </c>
      <c r="B80" s="54">
        <v>242</v>
      </c>
      <c r="C80" s="74" t="str">
        <f>VLOOKUP($B80,'Іменні заявки'!$A:$J,2,FALSE)</f>
        <v>Михальчук Володимир Олексійович</v>
      </c>
      <c r="D80" s="75">
        <f>VLOOKUP($B80,'Іменні заявки'!$A:$J,3,FALSE)</f>
        <v>31536</v>
      </c>
      <c r="E80" s="76" t="str">
        <f>VLOOKUP($B80,'Іменні заявки'!$A:$J,4,FALSE)</f>
        <v>ІІ</v>
      </c>
      <c r="F80" s="507">
        <f>VLOOKUP($B80-RIGHT($B80,1),'Проток.рез.КСП'!A:W,23,FALSE)</f>
        <v>0.17604166666666665</v>
      </c>
      <c r="G80" s="510">
        <f>IF(ISERROR($F80),"—",IF(OR(ISTEXT($F80),$F80=""),"—",IF(VLOOKUP($B80-RIGHT($B80,1),'Проток.рез.КСП'!A:Y,25,FALSE)&lt;&gt;"",VLOOKUP($B80-RIGHT($B80,1),'Проток.рез.КСП'!A:Y,25,FALSE),ROUND($F80/$F$14*100,2))))</f>
        <v>711.08</v>
      </c>
      <c r="H80" s="513" t="str">
        <f>VLOOKUP($B80,'Іменні заявки'!$A:$J,8,FALSE)</f>
        <v>м.Старокостянтинів</v>
      </c>
      <c r="I80" s="513" t="str">
        <f>VLOOKUP($B80,'Іменні заявки'!$A:$J,7,FALSE)</f>
        <v>м.Старокостянтинів</v>
      </c>
      <c r="J80" s="513">
        <f>VLOOKUP($B80,'Іменні заявки'!$A:$J,9,FALSE)</f>
      </c>
      <c r="K80" s="53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0" s="77" t="str">
        <f>VLOOKUP($B80,'Іменні заявки'!$A:$J,10,FALSE)</f>
        <v>Скурський С.А.</v>
      </c>
    </row>
    <row r="81" spans="1:12" ht="12.75" customHeight="1">
      <c r="A81" s="487"/>
      <c r="B81" s="56">
        <v>241</v>
      </c>
      <c r="C81" s="79" t="str">
        <f>VLOOKUP($B81,'Іменні заявки'!$A:$J,2,FALSE)</f>
        <v>Скурський Сергій Анатолійович</v>
      </c>
      <c r="D81" s="80">
        <f>VLOOKUP($B81,'Іменні заявки'!$A:$J,3,FALSE)</f>
        <v>31402</v>
      </c>
      <c r="E81" s="81" t="str">
        <f>VLOOKUP($B81,'Іменні заявки'!$A:$J,4,FALSE)</f>
        <v>ІІ</v>
      </c>
      <c r="F81" s="508"/>
      <c r="G81" s="511"/>
      <c r="H81" s="514"/>
      <c r="I81" s="514"/>
      <c r="J81" s="514"/>
      <c r="K81" s="55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1" s="82" t="str">
        <f>VLOOKUP($B81,'Іменні заявки'!$A:$J,10,FALSE)</f>
        <v>Скурський С.А.</v>
      </c>
    </row>
    <row r="82" spans="1:12" ht="12.75" customHeight="1">
      <c r="A82" s="487"/>
      <c r="B82" s="56">
        <v>247</v>
      </c>
      <c r="C82" s="79" t="str">
        <f>VLOOKUP($B82,'Іменні заявки'!$A:$J,2,FALSE)</f>
        <v>Бабик Олександр Миколайович</v>
      </c>
      <c r="D82" s="80">
        <f>VLOOKUP($B82,'Іменні заявки'!$A:$J,3,FALSE)</f>
        <v>29070</v>
      </c>
      <c r="E82" s="81" t="str">
        <f>VLOOKUP($B82,'Іменні заявки'!$A:$J,4,FALSE)</f>
        <v>б/р</v>
      </c>
      <c r="F82" s="508"/>
      <c r="G82" s="511"/>
      <c r="H82" s="514"/>
      <c r="I82" s="514"/>
      <c r="J82" s="514"/>
      <c r="K82" s="55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2" s="82" t="str">
        <f>VLOOKUP($B82,'Іменні заявки'!$A:$J,10,FALSE)</f>
        <v>Скурський С.А.</v>
      </c>
    </row>
    <row r="83" spans="1:12" ht="12.75" customHeight="1">
      <c r="A83" s="487"/>
      <c r="B83" s="56">
        <v>248</v>
      </c>
      <c r="C83" s="79" t="str">
        <f>VLOOKUP($B83,'Іменні заявки'!$A:$J,2,FALSE)</f>
        <v>Каменярська Катерина Вікторівна</v>
      </c>
      <c r="D83" s="80">
        <f>VLOOKUP($B83,'Іменні заявки'!$A:$J,3,FALSE)</f>
        <v>33709</v>
      </c>
      <c r="E83" s="81" t="str">
        <f>VLOOKUP($B83,'Іменні заявки'!$A:$J,4,FALSE)</f>
        <v>б/р</v>
      </c>
      <c r="F83" s="508"/>
      <c r="G83" s="511"/>
      <c r="H83" s="514"/>
      <c r="I83" s="514"/>
      <c r="J83" s="514"/>
      <c r="K83" s="55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3" s="82" t="str">
        <f>VLOOKUP($B83,'Іменні заявки'!$A:$J,10,FALSE)</f>
        <v>Скурський С.А.</v>
      </c>
    </row>
    <row r="84" spans="1:12" ht="12.75" customHeight="1">
      <c r="A84" s="487"/>
      <c r="B84" s="56">
        <v>246</v>
      </c>
      <c r="C84" s="79" t="str">
        <f>VLOOKUP($B84,'Іменні заявки'!$A:$J,2,FALSE)</f>
        <v>Кравчук Віктор Володимирович</v>
      </c>
      <c r="D84" s="80">
        <f>VLOOKUP($B84,'Іменні заявки'!$A:$J,3,FALSE)</f>
        <v>26384</v>
      </c>
      <c r="E84" s="81" t="str">
        <f>VLOOKUP($B84,'Іменні заявки'!$A:$J,4,FALSE)</f>
        <v>б/р</v>
      </c>
      <c r="F84" s="508"/>
      <c r="G84" s="511"/>
      <c r="H84" s="514"/>
      <c r="I84" s="514"/>
      <c r="J84" s="514"/>
      <c r="K84" s="55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4" s="82" t="str">
        <f>VLOOKUP($B84,'Іменні заявки'!$A:$J,10,FALSE)</f>
        <v>Скурський С.А.</v>
      </c>
    </row>
    <row r="85" spans="1:12" ht="12.75" customHeight="1" thickBot="1">
      <c r="A85" s="506"/>
      <c r="B85" s="83">
        <v>245</v>
      </c>
      <c r="C85" s="84" t="str">
        <f>VLOOKUP($B85,'Іменні заявки'!$A:$J,2,FALSE)</f>
        <v>Кольков Володимир Іванович</v>
      </c>
      <c r="D85" s="85">
        <f>VLOOKUP($B85,'Іменні заявки'!$A:$J,3,FALSE)</f>
        <v>29311</v>
      </c>
      <c r="E85" s="86" t="str">
        <f>VLOOKUP($B85,'Іменні заявки'!$A:$J,4,FALSE)</f>
        <v>б/р</v>
      </c>
      <c r="F85" s="509"/>
      <c r="G85" s="512"/>
      <c r="H85" s="515"/>
      <c r="I85" s="515"/>
      <c r="J85" s="515"/>
      <c r="K85" s="87" t="str">
        <f>IF(AND(OR($S$11="V",$S$11="IV"),$S$12&gt;=200,$S$14&lt;&gt;"—",G80&lt;=$S$14),"КМСУ",IF(AND($S$15&lt;&gt;"—",G80&lt;=$S$15),"І с.р.",IF(AND($S$16&lt;&gt;"—",G80&lt;=$S$16),"ІІ с.р.",IF(AND($S$17&lt;&gt;"—",G80&lt;=$S$17),"ІІІ с.р.","—"))))</f>
        <v>—</v>
      </c>
      <c r="L85" s="88" t="str">
        <f>VLOOKUP($B85,'Іменні заявки'!$A:$J,10,FALSE)</f>
        <v>Скурський С.А.</v>
      </c>
    </row>
    <row r="86" spans="1:12" ht="12.75" customHeight="1">
      <c r="A86" s="486">
        <v>13</v>
      </c>
      <c r="B86" s="54">
        <v>91</v>
      </c>
      <c r="C86" s="74" t="str">
        <f>VLOOKUP($B86,'Іменні заявки'!$A:$J,2,FALSE)</f>
        <v>Андрійчук Борис Володимирович</v>
      </c>
      <c r="D86" s="75">
        <f>VLOOKUP($B86,'Іменні заявки'!$A:$J,3,FALSE)</f>
        <v>31939</v>
      </c>
      <c r="E86" s="76" t="str">
        <f>VLOOKUP($B86,'Іменні заявки'!$A:$J,4,FALSE)</f>
        <v>б/р</v>
      </c>
      <c r="F86" s="507">
        <f>VLOOKUP($B86-RIGHT($B86,1),'Проток.рез.КСП'!A:W,23,FALSE)</f>
        <v>0.19756944444444446</v>
      </c>
      <c r="G86" s="510">
        <f>IF(ISERROR($F86),"—",IF(OR(ISTEXT($F86),$F86=""),"—",IF(VLOOKUP($B86-RIGHT($B86,1),'Проток.рез.КСП'!A:Y,25,FALSE)&lt;&gt;"",VLOOKUP($B86-RIGHT($B86,1),'Проток.рез.КСП'!A:Y,25,FALSE),ROUND($F86/$F$14*100,2))))</f>
        <v>798.04</v>
      </c>
      <c r="H86" s="513" t="str">
        <f>VLOOKUP($B86,'Іменні заявки'!$A:$J,8,FALSE)</f>
        <v>Красилівський р-н</v>
      </c>
      <c r="I86" s="513" t="str">
        <f>VLOOKUP($B86,'Іменні заявки'!$A:$J,7,FALSE)</f>
        <v>Красилівського р-ну</v>
      </c>
      <c r="J86" s="513">
        <f>VLOOKUP($B86,'Іменні заявки'!$A:$J,9,FALSE)</f>
      </c>
      <c r="K86" s="53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86" s="77" t="str">
        <f>VLOOKUP($B86,'Іменні заявки'!$A:$J,10,FALSE)</f>
        <v>Тустановський М,В.</v>
      </c>
    </row>
    <row r="87" spans="1:12" ht="12.75" customHeight="1">
      <c r="A87" s="487"/>
      <c r="B87" s="56">
        <v>92</v>
      </c>
      <c r="C87" s="79" t="str">
        <f>VLOOKUP($B87,'Іменні заявки'!$A:$J,2,FALSE)</f>
        <v>Тустановський Микола Володимирович</v>
      </c>
      <c r="D87" s="80">
        <f>VLOOKUP($B87,'Іменні заявки'!$A:$J,3,FALSE)</f>
        <v>25380</v>
      </c>
      <c r="E87" s="81" t="str">
        <f>VLOOKUP($B87,'Іменні заявки'!$A:$J,4,FALSE)</f>
        <v>б/р</v>
      </c>
      <c r="F87" s="508"/>
      <c r="G87" s="511"/>
      <c r="H87" s="514"/>
      <c r="I87" s="514"/>
      <c r="J87" s="514"/>
      <c r="K87" s="55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87" s="82" t="str">
        <f>VLOOKUP($B87,'Іменні заявки'!$A:$J,10,FALSE)</f>
        <v>Лавринчук В.О.</v>
      </c>
    </row>
    <row r="88" spans="1:12" ht="12.75" customHeight="1">
      <c r="A88" s="487"/>
      <c r="B88" s="56">
        <v>94</v>
      </c>
      <c r="C88" s="79" t="str">
        <f>VLOOKUP($B88,'Іменні заявки'!$A:$J,2,FALSE)</f>
        <v>Мироненко Василь Олександрович</v>
      </c>
      <c r="D88" s="80">
        <f>VLOOKUP($B88,'Іменні заявки'!$A:$J,3,FALSE)</f>
        <v>32858</v>
      </c>
      <c r="E88" s="81" t="str">
        <f>VLOOKUP($B88,'Іменні заявки'!$A:$J,4,FALSE)</f>
        <v>б/р</v>
      </c>
      <c r="F88" s="508"/>
      <c r="G88" s="511"/>
      <c r="H88" s="514"/>
      <c r="I88" s="514"/>
      <c r="J88" s="514"/>
      <c r="K88" s="55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88" s="82" t="str">
        <f>VLOOKUP($B88,'Іменні заявки'!$A:$J,10,FALSE)</f>
        <v>Тустановський М,В.</v>
      </c>
    </row>
    <row r="89" spans="1:12" ht="12.75" customHeight="1">
      <c r="A89" s="487"/>
      <c r="B89" s="56">
        <v>95</v>
      </c>
      <c r="C89" s="79" t="str">
        <f>VLOOKUP($B89,'Іменні заявки'!$A:$J,2,FALSE)</f>
        <v>Данилюк Ілона Юріївна</v>
      </c>
      <c r="D89" s="80">
        <f>VLOOKUP($B89,'Іменні заявки'!$A:$J,3,FALSE)</f>
        <v>33260</v>
      </c>
      <c r="E89" s="81" t="str">
        <f>VLOOKUP($B89,'Іменні заявки'!$A:$J,4,FALSE)</f>
        <v>б/р</v>
      </c>
      <c r="F89" s="508"/>
      <c r="G89" s="511"/>
      <c r="H89" s="514"/>
      <c r="I89" s="514"/>
      <c r="J89" s="514"/>
      <c r="K89" s="55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89" s="82" t="str">
        <f>VLOOKUP($B89,'Іменні заявки'!$A:$J,10,FALSE)</f>
        <v>Тустановський М,В.</v>
      </c>
    </row>
    <row r="90" spans="1:12" ht="12.75" customHeight="1">
      <c r="A90" s="487"/>
      <c r="B90" s="56">
        <v>96</v>
      </c>
      <c r="C90" s="79" t="str">
        <f>VLOOKUP($B90,'Іменні заявки'!$A:$J,2,FALSE)</f>
        <v>Теслик Анатолій Петрович</v>
      </c>
      <c r="D90" s="80">
        <f>VLOOKUP($B90,'Іменні заявки'!$A:$J,3,FALSE)</f>
        <v>33783</v>
      </c>
      <c r="E90" s="81" t="str">
        <f>VLOOKUP($B90,'Іменні заявки'!$A:$J,4,FALSE)</f>
        <v>б/р</v>
      </c>
      <c r="F90" s="508"/>
      <c r="G90" s="511"/>
      <c r="H90" s="514"/>
      <c r="I90" s="514"/>
      <c r="J90" s="514"/>
      <c r="K90" s="55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90" s="82" t="str">
        <f>VLOOKUP($B90,'Іменні заявки'!$A:$J,10,FALSE)</f>
        <v>Тустановський М,В.</v>
      </c>
    </row>
    <row r="91" spans="1:12" ht="12.75" customHeight="1" thickBot="1">
      <c r="A91" s="506"/>
      <c r="B91" s="83">
        <v>97</v>
      </c>
      <c r="C91" s="84" t="str">
        <f>VLOOKUP($B91,'Іменні заявки'!$A:$J,2,FALSE)</f>
        <v>Поліщук Сергій Анатолійович</v>
      </c>
      <c r="D91" s="85">
        <f>VLOOKUP($B91,'Іменні заявки'!$A:$J,3,FALSE)</f>
        <v>34858</v>
      </c>
      <c r="E91" s="86" t="str">
        <f>VLOOKUP($B91,'Іменні заявки'!$A:$J,4,FALSE)</f>
        <v>б/р</v>
      </c>
      <c r="F91" s="509"/>
      <c r="G91" s="512"/>
      <c r="H91" s="515"/>
      <c r="I91" s="515"/>
      <c r="J91" s="515"/>
      <c r="K91" s="87" t="str">
        <f>IF(AND(OR($S$11="V",$S$11="IV"),$S$12&gt;=200,$S$14&lt;&gt;"—",G86&lt;=$S$14),"КМСУ",IF(AND($S$15&lt;&gt;"—",G86&lt;=$S$15),"І с.р.",IF(AND($S$16&lt;&gt;"—",G86&lt;=$S$16),"ІІ с.р.",IF(AND($S$17&lt;&gt;"—",G86&lt;=$S$17),"ІІІ с.р.","—"))))</f>
        <v>—</v>
      </c>
      <c r="L91" s="88" t="str">
        <f>VLOOKUP($B91,'Іменні заявки'!$A:$J,10,FALSE)</f>
        <v>Тустановський М,В.</v>
      </c>
    </row>
    <row r="92" spans="1:12" ht="12.75" customHeight="1">
      <c r="A92" s="486">
        <v>14</v>
      </c>
      <c r="B92" s="54">
        <v>111</v>
      </c>
      <c r="C92" s="74" t="str">
        <f>VLOOKUP($B92,'Іменні заявки'!$A:$J,2,FALSE)</f>
        <v>Посишен Віталій Володимирович</v>
      </c>
      <c r="D92" s="75">
        <f>VLOOKUP($B92,'Іменні заявки'!$A:$J,3,FALSE)</f>
        <v>27387</v>
      </c>
      <c r="E92" s="76" t="str">
        <f>VLOOKUP($B92,'Іменні заявки'!$A:$J,4,FALSE)</f>
        <v>б/р</v>
      </c>
      <c r="F92" s="507">
        <f>VLOOKUP($B92-RIGHT($B92,1),'Проток.рез.КСП'!A:W,23,FALSE)</f>
        <v>0.20069444444444445</v>
      </c>
      <c r="G92" s="510">
        <f>IF(ISERROR($F92),"—",IF(OR(ISTEXT($F92),$F92=""),"—",IF(VLOOKUP($B92-RIGHT($B92,1),'Проток.рез.КСП'!A:Y,25,FALSE)&lt;&gt;"",VLOOKUP($B92-RIGHT($B92,1),'Проток.рез.КСП'!A:Y,25,FALSE),ROUND($F92/$F$14*100,2))))</f>
        <v>810.66</v>
      </c>
      <c r="H92" s="513" t="str">
        <f>VLOOKUP($B92,'Іменні заявки'!$A:$J,8,FALSE)</f>
        <v>Новоушицький р-н</v>
      </c>
      <c r="I92" s="513" t="str">
        <f>VLOOKUP($B92,'Іменні заявки'!$A:$J,7,FALSE)</f>
        <v>Новоушицького р-ну</v>
      </c>
      <c r="J92" s="513">
        <f>VLOOKUP($B92,'Іменні заявки'!$A:$J,9,FALSE)</f>
      </c>
      <c r="K92" s="53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2" s="77" t="str">
        <f>VLOOKUP($B92,'Іменні заявки'!$A:$J,10,FALSE)</f>
        <v>Посишен В.В.</v>
      </c>
    </row>
    <row r="93" spans="1:12" ht="12.75" customHeight="1">
      <c r="A93" s="487"/>
      <c r="B93" s="56">
        <v>114</v>
      </c>
      <c r="C93" s="79" t="str">
        <f>VLOOKUP($B93,'Іменні заявки'!$A:$J,2,FALSE)</f>
        <v>Макогончук Вадим Петрович</v>
      </c>
      <c r="D93" s="80">
        <f>VLOOKUP($B93,'Іменні заявки'!$A:$J,3,FALSE)</f>
        <v>34375</v>
      </c>
      <c r="E93" s="81" t="str">
        <f>VLOOKUP($B93,'Іменні заявки'!$A:$J,4,FALSE)</f>
        <v>б/р</v>
      </c>
      <c r="F93" s="508"/>
      <c r="G93" s="511"/>
      <c r="H93" s="514"/>
      <c r="I93" s="514"/>
      <c r="J93" s="514"/>
      <c r="K93" s="55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3" s="82" t="str">
        <f>VLOOKUP($B93,'Іменні заявки'!$A:$J,10,FALSE)</f>
        <v>Посишен В.В.</v>
      </c>
    </row>
    <row r="94" spans="1:12" ht="12.75" customHeight="1">
      <c r="A94" s="487"/>
      <c r="B94" s="56">
        <v>113</v>
      </c>
      <c r="C94" s="79" t="str">
        <f>VLOOKUP($B94,'Іменні заявки'!$A:$J,2,FALSE)</f>
        <v>Бурбас Олександр Петрович</v>
      </c>
      <c r="D94" s="80">
        <f>VLOOKUP($B94,'Іменні заявки'!$A:$J,3,FALSE)</f>
        <v>34183</v>
      </c>
      <c r="E94" s="81" t="str">
        <f>VLOOKUP($B94,'Іменні заявки'!$A:$J,4,FALSE)</f>
        <v>б/р</v>
      </c>
      <c r="F94" s="508"/>
      <c r="G94" s="511"/>
      <c r="H94" s="514"/>
      <c r="I94" s="514"/>
      <c r="J94" s="514"/>
      <c r="K94" s="55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4" s="82" t="str">
        <f>VLOOKUP($B94,'Іменні заявки'!$A:$J,10,FALSE)</f>
        <v>Посишен В.В.</v>
      </c>
    </row>
    <row r="95" spans="1:12" ht="12.75" customHeight="1">
      <c r="A95" s="487"/>
      <c r="B95" s="56">
        <v>115</v>
      </c>
      <c r="C95" s="79" t="str">
        <f>VLOOKUP($B95,'Іменні заявки'!$A:$J,2,FALSE)</f>
        <v>Дубіневич Олександр Васильович</v>
      </c>
      <c r="D95" s="80">
        <f>VLOOKUP($B95,'Іменні заявки'!$A:$J,3,FALSE)</f>
        <v>31815</v>
      </c>
      <c r="E95" s="81" t="str">
        <f>VLOOKUP($B95,'Іменні заявки'!$A:$J,4,FALSE)</f>
        <v>б/р</v>
      </c>
      <c r="F95" s="508"/>
      <c r="G95" s="511"/>
      <c r="H95" s="514"/>
      <c r="I95" s="514"/>
      <c r="J95" s="514"/>
      <c r="K95" s="55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5" s="82" t="str">
        <f>VLOOKUP($B95,'Іменні заявки'!$A:$J,10,FALSE)</f>
        <v>Посишен В.В.</v>
      </c>
    </row>
    <row r="96" spans="1:12" ht="12.75" customHeight="1">
      <c r="A96" s="487"/>
      <c r="B96" s="56">
        <v>116</v>
      </c>
      <c r="C96" s="79" t="str">
        <f>VLOOKUP($B96,'Іменні заявки'!$A:$J,2,FALSE)</f>
        <v>Пітик Ольга Олександрівна</v>
      </c>
      <c r="D96" s="80">
        <f>VLOOKUP($B96,'Іменні заявки'!$A:$J,3,FALSE)</f>
        <v>33179</v>
      </c>
      <c r="E96" s="81" t="str">
        <f>VLOOKUP($B96,'Іменні заявки'!$A:$J,4,FALSE)</f>
        <v>б/р</v>
      </c>
      <c r="F96" s="508"/>
      <c r="G96" s="511"/>
      <c r="H96" s="514"/>
      <c r="I96" s="514"/>
      <c r="J96" s="514"/>
      <c r="K96" s="55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6" s="82" t="str">
        <f>VLOOKUP($B96,'Іменні заявки'!$A:$J,10,FALSE)</f>
        <v>Посишен В.В.</v>
      </c>
    </row>
    <row r="97" spans="1:12" ht="12.75" customHeight="1" thickBot="1">
      <c r="A97" s="506"/>
      <c r="B97" s="83">
        <v>117</v>
      </c>
      <c r="C97" s="84" t="str">
        <f>VLOOKUP($B97,'Іменні заявки'!$A:$J,2,FALSE)</f>
        <v>Іванов Олександр Леонідович</v>
      </c>
      <c r="D97" s="85">
        <f>VLOOKUP($B97,'Іменні заявки'!$A:$J,3,FALSE)</f>
        <v>33096</v>
      </c>
      <c r="E97" s="86" t="str">
        <f>VLOOKUP($B97,'Іменні заявки'!$A:$J,4,FALSE)</f>
        <v>б/р</v>
      </c>
      <c r="F97" s="509"/>
      <c r="G97" s="512"/>
      <c r="H97" s="515"/>
      <c r="I97" s="515"/>
      <c r="J97" s="515"/>
      <c r="K97" s="87" t="str">
        <f>IF(AND(OR($S$11="V",$S$11="IV"),$S$12&gt;=200,$S$14&lt;&gt;"—",G92&lt;=$S$14),"КМСУ",IF(AND($S$15&lt;&gt;"—",G92&lt;=$S$15),"І с.р.",IF(AND($S$16&lt;&gt;"—",G92&lt;=$S$16),"ІІ с.р.",IF(AND($S$17&lt;&gt;"—",G92&lt;=$S$17),"ІІІ с.р.","—"))))</f>
        <v>—</v>
      </c>
      <c r="L97" s="88" t="str">
        <f>VLOOKUP($B97,'Іменні заявки'!$A:$J,10,FALSE)</f>
        <v>Посишен В.В.</v>
      </c>
    </row>
    <row r="98" spans="1:12" ht="12.75" customHeight="1">
      <c r="A98" s="486">
        <v>15</v>
      </c>
      <c r="B98" s="54">
        <v>61</v>
      </c>
      <c r="C98" s="74" t="str">
        <f>VLOOKUP($B98,'Іменні заявки'!$A:$J,2,FALSE)</f>
        <v>Хитрюк Ігор Владиславович</v>
      </c>
      <c r="D98" s="75">
        <f>VLOOKUP($B98,'Іменні заявки'!$A:$J,3,FALSE)</f>
        <v>27812</v>
      </c>
      <c r="E98" s="76" t="str">
        <f>VLOOKUP($B98,'Іменні заявки'!$A:$J,4,FALSE)</f>
        <v>ІІІ</v>
      </c>
      <c r="F98" s="507">
        <f>VLOOKUP($B98-RIGHT($B98,1),'Проток.рез.КСП'!A:W,23,FALSE)</f>
        <v>0.24965277777777778</v>
      </c>
      <c r="G98" s="510">
        <f>IF(ISERROR($F98),"—",IF(OR(ISTEXT($F98),$F98=""),"—",IF(VLOOKUP($B98-RIGHT($B98,1),'Проток.рез.КСП'!A:Y,25,FALSE)&lt;&gt;"",VLOOKUP($B98-RIGHT($B98,1),'Проток.рез.КСП'!A:Y,25,FALSE),ROUND($F98/$F$14*100,2))))</f>
        <v>1008.42</v>
      </c>
      <c r="H98" s="513" t="str">
        <f>VLOOKUP($B98,'Іменні заявки'!$A:$J,8,FALSE)</f>
        <v>Дунаєвецький р-н</v>
      </c>
      <c r="I98" s="513" t="str">
        <f>VLOOKUP($B98,'Іменні заявки'!$A:$J,7,FALSE)</f>
        <v>Дунаєвецького р-ну</v>
      </c>
      <c r="J98" s="513">
        <f>VLOOKUP($B98,'Іменні заявки'!$A:$J,9,FALSE)</f>
      </c>
      <c r="K98" s="53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98" s="77" t="str">
        <f>VLOOKUP($B98,'Іменні заявки'!$A:$J,10,FALSE)</f>
        <v>Хитрюк І.В.</v>
      </c>
    </row>
    <row r="99" spans="1:12" ht="12.75" customHeight="1">
      <c r="A99" s="487"/>
      <c r="B99" s="56">
        <v>63</v>
      </c>
      <c r="C99" s="79" t="str">
        <f>VLOOKUP($B99,'Іменні заявки'!$A:$J,2,FALSE)</f>
        <v>Червоняк Володимир Михайлович</v>
      </c>
      <c r="D99" s="80">
        <f>VLOOKUP($B99,'Іменні заявки'!$A:$J,3,FALSE)</f>
        <v>30975</v>
      </c>
      <c r="E99" s="81" t="str">
        <f>VLOOKUP($B99,'Іменні заявки'!$A:$J,4,FALSE)</f>
        <v>б/р</v>
      </c>
      <c r="F99" s="508"/>
      <c r="G99" s="511"/>
      <c r="H99" s="514"/>
      <c r="I99" s="514"/>
      <c r="J99" s="514"/>
      <c r="K99" s="55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99" s="82" t="str">
        <f>VLOOKUP($B99,'Іменні заявки'!$A:$J,10,FALSE)</f>
        <v>Хитрюк І.В.</v>
      </c>
    </row>
    <row r="100" spans="1:12" ht="12.75" customHeight="1">
      <c r="A100" s="487"/>
      <c r="B100" s="56">
        <v>65</v>
      </c>
      <c r="C100" s="79" t="str">
        <f>VLOOKUP($B100,'Іменні заявки'!$A:$J,2,FALSE)</f>
        <v>Підлісний Григорій Володимирович</v>
      </c>
      <c r="D100" s="80">
        <f>VLOOKUP($B100,'Іменні заявки'!$A:$J,3,FALSE)</f>
        <v>32548</v>
      </c>
      <c r="E100" s="81" t="str">
        <f>VLOOKUP($B100,'Іменні заявки'!$A:$J,4,FALSE)</f>
        <v>б/р</v>
      </c>
      <c r="F100" s="508"/>
      <c r="G100" s="511"/>
      <c r="H100" s="514"/>
      <c r="I100" s="514"/>
      <c r="J100" s="514"/>
      <c r="K100" s="55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100" s="82" t="str">
        <f>VLOOKUP($B100,'Іменні заявки'!$A:$J,10,FALSE)</f>
        <v>Хитрюк І.В.</v>
      </c>
    </row>
    <row r="101" spans="1:12" ht="12.75" customHeight="1">
      <c r="A101" s="487"/>
      <c r="B101" s="56">
        <v>66</v>
      </c>
      <c r="C101" s="79" t="str">
        <f>VLOOKUP($B101,'Іменні заявки'!$A:$J,2,FALSE)</f>
        <v>Швець Олександр Олександрович</v>
      </c>
      <c r="D101" s="80">
        <f>VLOOKUP($B101,'Іменні заявки'!$A:$J,3,FALSE)</f>
        <v>31301</v>
      </c>
      <c r="E101" s="81" t="str">
        <f>VLOOKUP($B101,'Іменні заявки'!$A:$J,4,FALSE)</f>
        <v>б/р</v>
      </c>
      <c r="F101" s="508"/>
      <c r="G101" s="511"/>
      <c r="H101" s="514"/>
      <c r="I101" s="514"/>
      <c r="J101" s="514"/>
      <c r="K101" s="55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101" s="82" t="str">
        <f>VLOOKUP($B101,'Іменні заявки'!$A:$J,10,FALSE)</f>
        <v>Хитрюк І.В.</v>
      </c>
    </row>
    <row r="102" spans="1:12" ht="12.75" customHeight="1">
      <c r="A102" s="487"/>
      <c r="B102" s="56">
        <v>67</v>
      </c>
      <c r="C102" s="79" t="str">
        <f>VLOOKUP($B102,'Іменні заявки'!$A:$J,2,FALSE)</f>
        <v>Крупник Артур Юрійович</v>
      </c>
      <c r="D102" s="80">
        <f>VLOOKUP($B102,'Іменні заявки'!$A:$J,3,FALSE)</f>
        <v>31711</v>
      </c>
      <c r="E102" s="81" t="str">
        <f>VLOOKUP($B102,'Іменні заявки'!$A:$J,4,FALSE)</f>
        <v>б/р</v>
      </c>
      <c r="F102" s="508"/>
      <c r="G102" s="511"/>
      <c r="H102" s="514"/>
      <c r="I102" s="514"/>
      <c r="J102" s="514"/>
      <c r="K102" s="55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102" s="82" t="str">
        <f>VLOOKUP($B102,'Іменні заявки'!$A:$J,10,FALSE)</f>
        <v>Хитрюк І.В.</v>
      </c>
    </row>
    <row r="103" spans="1:12" ht="12.75" customHeight="1" thickBot="1">
      <c r="A103" s="506"/>
      <c r="B103" s="83">
        <v>68</v>
      </c>
      <c r="C103" s="84" t="str">
        <f>VLOOKUP($B103,'Іменні заявки'!$A:$J,2,FALSE)</f>
        <v>Лавренюк Ірина Анатоліївна</v>
      </c>
      <c r="D103" s="85">
        <f>VLOOKUP($B103,'Іменні заявки'!$A:$J,3,FALSE)</f>
        <v>32396</v>
      </c>
      <c r="E103" s="86" t="str">
        <f>VLOOKUP($B103,'Іменні заявки'!$A:$J,4,FALSE)</f>
        <v>б/р</v>
      </c>
      <c r="F103" s="509"/>
      <c r="G103" s="512"/>
      <c r="H103" s="515"/>
      <c r="I103" s="515"/>
      <c r="J103" s="515"/>
      <c r="K103" s="87" t="str">
        <f>IF(AND(OR($S$11="V",$S$11="IV"),$S$12&gt;=200,$S$14&lt;&gt;"—",G98&lt;=$S$14),"КМСУ",IF(AND($S$15&lt;&gt;"—",G98&lt;=$S$15),"І с.р.",IF(AND($S$16&lt;&gt;"—",G98&lt;=$S$16),"ІІ с.р.",IF(AND($S$17&lt;&gt;"—",G98&lt;=$S$17),"ІІІ с.р.","—"))))</f>
        <v>—</v>
      </c>
      <c r="L103" s="88" t="str">
        <f>VLOOKUP($B103,'Іменні заявки'!$A:$J,10,FALSE)</f>
        <v>Хитрюк І.В.</v>
      </c>
    </row>
    <row r="104" spans="1:12" ht="12.75" customHeight="1">
      <c r="A104" s="486">
        <v>16</v>
      </c>
      <c r="B104" s="54">
        <v>21</v>
      </c>
      <c r="C104" s="74" t="str">
        <f>VLOOKUP($B104,'Іменні заявки'!$A:$J,2,FALSE)</f>
        <v>Левицький Андрій Сергійович</v>
      </c>
      <c r="D104" s="75">
        <f>VLOOKUP($B104,'Іменні заявки'!$A:$J,3,FALSE)</f>
        <v>34075</v>
      </c>
      <c r="E104" s="76" t="str">
        <f>VLOOKUP($B104,'Іменні заявки'!$A:$J,4,FALSE)</f>
        <v>б/р</v>
      </c>
      <c r="F104" s="507">
        <f>VLOOKUP($B104-RIGHT($B104,1),'Проток.рез.КСП'!A:W,23,FALSE)</f>
        <v>0.2607638888888889</v>
      </c>
      <c r="G104" s="510">
        <f>IF(ISERROR($F104),"—",IF(OR(ISTEXT($F104),$F104=""),"—",IF(VLOOKUP($B104-RIGHT($B104,1),'Проток.рез.КСП'!A:Y,25,FALSE)&lt;&gt;"",VLOOKUP($B104-RIGHT($B104,1),'Проток.рез.КСП'!A:Y,25,FALSE),ROUND($F104/$F$14*100,2))))</f>
        <v>1053.3</v>
      </c>
      <c r="H104" s="513" t="str">
        <f>VLOOKUP($B104,'Іменні заявки'!$A:$J,8,FALSE)</f>
        <v>Віньковецький р-н</v>
      </c>
      <c r="I104" s="513" t="str">
        <f>VLOOKUP($B104,'Іменні заявки'!$A:$J,7,FALSE)</f>
        <v>Віньковецького р-ну</v>
      </c>
      <c r="J104" s="513">
        <f>VLOOKUP($B104,'Іменні заявки'!$A:$J,9,FALSE)</f>
      </c>
      <c r="K104" s="53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4" s="77" t="str">
        <f>VLOOKUP($B104,'Іменні заявки'!$A:$J,10,FALSE)</f>
        <v>Гаєвський Б.О.</v>
      </c>
    </row>
    <row r="105" spans="1:12" ht="12.75" customHeight="1">
      <c r="A105" s="487"/>
      <c r="B105" s="56">
        <v>23</v>
      </c>
      <c r="C105" s="79" t="str">
        <f>VLOOKUP($B105,'Іменні заявки'!$A:$J,2,FALSE)</f>
        <v>Гонголь Оксана Василівна</v>
      </c>
      <c r="D105" s="80">
        <f>VLOOKUP($B105,'Іменні заявки'!$A:$J,3,FALSE)</f>
        <v>30901</v>
      </c>
      <c r="E105" s="81" t="str">
        <f>VLOOKUP($B105,'Іменні заявки'!$A:$J,4,FALSE)</f>
        <v>б/р</v>
      </c>
      <c r="F105" s="508"/>
      <c r="G105" s="511"/>
      <c r="H105" s="514"/>
      <c r="I105" s="514"/>
      <c r="J105" s="514"/>
      <c r="K105" s="55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5" s="82" t="str">
        <f>VLOOKUP($B105,'Іменні заявки'!$A:$J,10,FALSE)</f>
        <v>Гаєвський Б.О.</v>
      </c>
    </row>
    <row r="106" spans="1:12" ht="12.75" customHeight="1">
      <c r="A106" s="487"/>
      <c r="B106" s="56">
        <v>24</v>
      </c>
      <c r="C106" s="79" t="str">
        <f>VLOOKUP($B106,'Іменні заявки'!$A:$J,2,FALSE)</f>
        <v>Козар Тетяна Василівна</v>
      </c>
      <c r="D106" s="80">
        <f>VLOOKUP($B106,'Іменні заявки'!$A:$J,3,FALSE)</f>
        <v>32480</v>
      </c>
      <c r="E106" s="81" t="str">
        <f>VLOOKUP($B106,'Іменні заявки'!$A:$J,4,FALSE)</f>
        <v>б/р</v>
      </c>
      <c r="F106" s="508"/>
      <c r="G106" s="511"/>
      <c r="H106" s="514"/>
      <c r="I106" s="514"/>
      <c r="J106" s="514"/>
      <c r="K106" s="55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6" s="82" t="str">
        <f>VLOOKUP($B106,'Іменні заявки'!$A:$J,10,FALSE)</f>
        <v>Гаєвський Б.О.</v>
      </c>
    </row>
    <row r="107" spans="1:12" ht="12.75" customHeight="1">
      <c r="A107" s="487"/>
      <c r="B107" s="56">
        <v>25</v>
      </c>
      <c r="C107" s="79" t="str">
        <f>VLOOKUP($B107,'Іменні заявки'!$A:$J,2,FALSE)</f>
        <v>Ноняк Ігор Михайлович</v>
      </c>
      <c r="D107" s="80">
        <f>VLOOKUP($B107,'Іменні заявки'!$A:$J,3,FALSE)</f>
        <v>34138</v>
      </c>
      <c r="E107" s="81" t="str">
        <f>VLOOKUP($B107,'Іменні заявки'!$A:$J,4,FALSE)</f>
        <v>б/р</v>
      </c>
      <c r="F107" s="508"/>
      <c r="G107" s="511"/>
      <c r="H107" s="514"/>
      <c r="I107" s="514"/>
      <c r="J107" s="514"/>
      <c r="K107" s="55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7" s="82" t="str">
        <f>VLOOKUP($B107,'Іменні заявки'!$A:$J,10,FALSE)</f>
        <v>Гаєвський Б.О.</v>
      </c>
    </row>
    <row r="108" spans="1:12" ht="12.75" customHeight="1">
      <c r="A108" s="487"/>
      <c r="B108" s="56">
        <v>26</v>
      </c>
      <c r="C108" s="79" t="str">
        <f>VLOOKUP($B108,'Іменні заявки'!$A:$J,2,FALSE)</f>
        <v>Кукурудза Ігор Володимирович</v>
      </c>
      <c r="D108" s="80">
        <f>VLOOKUP($B108,'Іменні заявки'!$A:$J,3,FALSE)</f>
        <v>34235</v>
      </c>
      <c r="E108" s="81" t="str">
        <f>VLOOKUP($B108,'Іменні заявки'!$A:$J,4,FALSE)</f>
        <v>б/р</v>
      </c>
      <c r="F108" s="508"/>
      <c r="G108" s="511"/>
      <c r="H108" s="514"/>
      <c r="I108" s="514"/>
      <c r="J108" s="514"/>
      <c r="K108" s="55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8" s="82" t="str">
        <f>VLOOKUP($B108,'Іменні заявки'!$A:$J,10,FALSE)</f>
        <v>Гаєвський Б.О.</v>
      </c>
    </row>
    <row r="109" spans="1:12" ht="12.75" customHeight="1" thickBot="1">
      <c r="A109" s="506"/>
      <c r="B109" s="83">
        <v>27</v>
      </c>
      <c r="C109" s="84" t="str">
        <f>VLOOKUP($B109,'Іменні заявки'!$A:$J,2,FALSE)</f>
        <v>Кукурудза Вікторія Олегівна</v>
      </c>
      <c r="D109" s="85">
        <f>VLOOKUP($B109,'Іменні заявки'!$A:$J,3,FALSE)</f>
        <v>34226</v>
      </c>
      <c r="E109" s="86" t="str">
        <f>VLOOKUP($B109,'Іменні заявки'!$A:$J,4,FALSE)</f>
        <v>б/р</v>
      </c>
      <c r="F109" s="509"/>
      <c r="G109" s="512"/>
      <c r="H109" s="515"/>
      <c r="I109" s="515"/>
      <c r="J109" s="515"/>
      <c r="K109" s="87" t="str">
        <f>IF(AND(OR($S$11="V",$S$11="IV"),$S$12&gt;=200,$S$14&lt;&gt;"—",G104&lt;=$S$14),"КМСУ",IF(AND($S$15&lt;&gt;"—",G104&lt;=$S$15),"І с.р.",IF(AND($S$16&lt;&gt;"—",G104&lt;=$S$16),"ІІ с.р.",IF(AND($S$17&lt;&gt;"—",G104&lt;=$S$17),"ІІІ с.р.","—"))))</f>
        <v>—</v>
      </c>
      <c r="L109" s="88" t="str">
        <f>VLOOKUP($B109,'Іменні заявки'!$A:$J,10,FALSE)</f>
        <v>Гаєвський Б.О.</v>
      </c>
    </row>
    <row r="110" spans="1:12" ht="12.75" customHeight="1">
      <c r="A110" s="486">
        <v>17</v>
      </c>
      <c r="B110" s="54">
        <v>17</v>
      </c>
      <c r="C110" s="74" t="str">
        <f>VLOOKUP($B110,'Іменні заявки'!$A:$J,2,FALSE)</f>
        <v>Бійчук Олександр Михайлович</v>
      </c>
      <c r="D110" s="75">
        <f>VLOOKUP($B110,'Іменні заявки'!$A:$J,3,FALSE)</f>
        <v>33303</v>
      </c>
      <c r="E110" s="76" t="str">
        <f>VLOOKUP($B110,'Іменні заявки'!$A:$J,4,FALSE)</f>
        <v>б/р</v>
      </c>
      <c r="F110" s="507">
        <f>VLOOKUP($B110-RIGHT($B110,1),'Проток.рез.КСП'!A:W,23,FALSE)</f>
        <v>0.3</v>
      </c>
      <c r="G110" s="510">
        <f>IF(ISERROR($F110),"—",IF(OR(ISTEXT($F110),$F110=""),"—",IF(VLOOKUP($B110-RIGHT($B110,1),'Проток.рез.КСП'!A:Y,25,FALSE)&lt;&gt;"",VLOOKUP($B110-RIGHT($B110,1),'Проток.рез.КСП'!A:Y,25,FALSE),ROUND($F110/$F$14*100,2))))</f>
        <v>1211.78</v>
      </c>
      <c r="H110" s="513" t="str">
        <f>VLOOKUP($B110,'Іменні заявки'!$A:$J,8,FALSE)</f>
        <v>Білогірський р-н</v>
      </c>
      <c r="I110" s="513" t="str">
        <f>VLOOKUP($B110,'Іменні заявки'!$A:$J,7,FALSE)</f>
        <v>Білогірського р-ну</v>
      </c>
      <c r="J110" s="513">
        <f>VLOOKUP($B110,'Іменні заявки'!$A:$J,9,FALSE)</f>
      </c>
      <c r="K110" s="53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0" s="77" t="str">
        <f>VLOOKUP($B110,'Іменні заявки'!$A:$J,10,FALSE)</f>
        <v>Матвієць О.А.</v>
      </c>
    </row>
    <row r="111" spans="1:12" ht="12.75" customHeight="1">
      <c r="A111" s="487"/>
      <c r="B111" s="56">
        <v>11</v>
      </c>
      <c r="C111" s="79" t="str">
        <f>VLOOKUP($B111,'Іменні заявки'!$A:$J,2,FALSE)</f>
        <v>Матвієць Олександр Анатолійович</v>
      </c>
      <c r="D111" s="80">
        <f>VLOOKUP($B111,'Іменні заявки'!$A:$J,3,FALSE)</f>
        <v>32554</v>
      </c>
      <c r="E111" s="81" t="str">
        <f>VLOOKUP($B111,'Іменні заявки'!$A:$J,4,FALSE)</f>
        <v>б/р</v>
      </c>
      <c r="F111" s="508"/>
      <c r="G111" s="511"/>
      <c r="H111" s="514"/>
      <c r="I111" s="514"/>
      <c r="J111" s="514"/>
      <c r="K111" s="55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1" s="82" t="str">
        <f>VLOOKUP($B111,'Іменні заявки'!$A:$J,10,FALSE)</f>
        <v>Матвієць О.А.</v>
      </c>
    </row>
    <row r="112" spans="1:12" ht="12.75" customHeight="1">
      <c r="A112" s="487"/>
      <c r="B112" s="56">
        <v>18</v>
      </c>
      <c r="C112" s="79" t="str">
        <f>VLOOKUP($B112,'Іменні заявки'!$A:$J,2,FALSE)</f>
        <v>Швець Сергій Володимирович</v>
      </c>
      <c r="D112" s="80">
        <f>VLOOKUP($B112,'Іменні заявки'!$A:$J,3,FALSE)</f>
        <v>31854</v>
      </c>
      <c r="E112" s="81" t="str">
        <f>VLOOKUP($B112,'Іменні заявки'!$A:$J,4,FALSE)</f>
        <v>б/р</v>
      </c>
      <c r="F112" s="508"/>
      <c r="G112" s="511"/>
      <c r="H112" s="514"/>
      <c r="I112" s="514"/>
      <c r="J112" s="514"/>
      <c r="K112" s="55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2" s="82" t="str">
        <f>VLOOKUP($B112,'Іменні заявки'!$A:$J,10,FALSE)</f>
        <v>Матвієць О.А.</v>
      </c>
    </row>
    <row r="113" spans="1:12" ht="12.75" customHeight="1">
      <c r="A113" s="487"/>
      <c r="B113" s="56">
        <v>13</v>
      </c>
      <c r="C113" s="79" t="str">
        <f>VLOOKUP($B113,'Іменні заявки'!$A:$J,2,FALSE)</f>
        <v>Слободян Іван Володимирович</v>
      </c>
      <c r="D113" s="80">
        <f>VLOOKUP($B113,'Іменні заявки'!$A:$J,3,FALSE)</f>
        <v>33622</v>
      </c>
      <c r="E113" s="81" t="str">
        <f>VLOOKUP($B113,'Іменні заявки'!$A:$J,4,FALSE)</f>
        <v>б/р</v>
      </c>
      <c r="F113" s="508"/>
      <c r="G113" s="511"/>
      <c r="H113" s="514"/>
      <c r="I113" s="514"/>
      <c r="J113" s="514"/>
      <c r="K113" s="55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3" s="82" t="str">
        <f>VLOOKUP($B113,'Іменні заявки'!$A:$J,10,FALSE)</f>
        <v>Матвієць О.А.</v>
      </c>
    </row>
    <row r="114" spans="1:12" ht="12.75" customHeight="1">
      <c r="A114" s="487"/>
      <c r="B114" s="56">
        <v>16</v>
      </c>
      <c r="C114" s="79" t="str">
        <f>VLOOKUP($B114,'Іменні заявки'!$A:$J,2,FALSE)</f>
        <v>Осіпчук Володимир Вікторович</v>
      </c>
      <c r="D114" s="80">
        <f>VLOOKUP($B114,'Іменні заявки'!$A:$J,3,FALSE)</f>
        <v>32202</v>
      </c>
      <c r="E114" s="81" t="str">
        <f>VLOOKUP($B114,'Іменні заявки'!$A:$J,4,FALSE)</f>
        <v>б/р</v>
      </c>
      <c r="F114" s="508"/>
      <c r="G114" s="511"/>
      <c r="H114" s="514"/>
      <c r="I114" s="514"/>
      <c r="J114" s="514"/>
      <c r="K114" s="55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4" s="82" t="str">
        <f>VLOOKUP($B114,'Іменні заявки'!$A:$J,10,FALSE)</f>
        <v>Матвієць О.А.</v>
      </c>
    </row>
    <row r="115" spans="1:12" ht="12.75" customHeight="1" thickBot="1">
      <c r="A115" s="506"/>
      <c r="B115" s="83">
        <v>14</v>
      </c>
      <c r="C115" s="84" t="str">
        <f>VLOOKUP($B115,'Іменні заявки'!$A:$J,2,FALSE)</f>
        <v>Пурик Юлія Олександрівна</v>
      </c>
      <c r="D115" s="85">
        <f>VLOOKUP($B115,'Іменні заявки'!$A:$J,3,FALSE)</f>
        <v>34460</v>
      </c>
      <c r="E115" s="86" t="str">
        <f>VLOOKUP($B115,'Іменні заявки'!$A:$J,4,FALSE)</f>
        <v>б/р</v>
      </c>
      <c r="F115" s="509"/>
      <c r="G115" s="512"/>
      <c r="H115" s="515"/>
      <c r="I115" s="515"/>
      <c r="J115" s="515"/>
      <c r="K115" s="87" t="str">
        <f>IF(AND(OR($S$11="V",$S$11="IV"),$S$12&gt;=200,$S$14&lt;&gt;"—",G110&lt;=$S$14),"КМСУ",IF(AND($S$15&lt;&gt;"—",G110&lt;=$S$15),"І с.р.",IF(AND($S$16&lt;&gt;"—",G110&lt;=$S$16),"ІІ с.р.",IF(AND($S$17&lt;&gt;"—",G110&lt;=$S$17),"ІІІ с.р.","—"))))</f>
        <v>—</v>
      </c>
      <c r="L115" s="88" t="str">
        <f>VLOOKUP($B115,'Іменні заявки'!$A:$J,10,FALSE)</f>
        <v>Матвієць О.А.</v>
      </c>
    </row>
    <row r="116" spans="1:12" ht="12.75" customHeight="1" hidden="1">
      <c r="A116" s="486">
        <v>18</v>
      </c>
      <c r="B116" s="54"/>
      <c r="C116" s="74" t="e">
        <f>VLOOKUP($B116,'Іменні заявки'!$A:$J,2,FALSE)</f>
        <v>#N/A</v>
      </c>
      <c r="D116" s="75" t="e">
        <f>VLOOKUP($B116,'Іменні заявки'!$A:$J,3,FALSE)</f>
        <v>#N/A</v>
      </c>
      <c r="E116" s="76" t="e">
        <f>VLOOKUP($B116,'Іменні заявки'!$A:$J,4,FALSE)</f>
        <v>#N/A</v>
      </c>
      <c r="F116" s="507" t="e">
        <f>VLOOKUP($B116-RIGHT($B116,1),'Проток.рез.КСП'!A:W,23,FALSE)</f>
        <v>#VALUE!</v>
      </c>
      <c r="G116" s="510" t="str">
        <f>IF(ISERROR($F116),"—",IF(OR(ISTEXT($F116),$F116=""),"—",IF(VLOOKUP($B116-RIGHT($B116,1),'Проток.рез.КСП'!A:Y,25,FALSE)&lt;&gt;"",VLOOKUP($B116-RIGHT($B116,1),'Проток.рез.КСП'!A:Y,25,FALSE),ROUND($F116/$F$14*100,2))))</f>
        <v>—</v>
      </c>
      <c r="H116" s="513" t="e">
        <f>VLOOKUP($B116,'Іменні заявки'!$A:$J,8,FALSE)</f>
        <v>#N/A</v>
      </c>
      <c r="I116" s="513" t="e">
        <f>VLOOKUP($B116,'Іменні заявки'!$A:$J,7,FALSE)</f>
        <v>#N/A</v>
      </c>
      <c r="J116" s="513" t="e">
        <f>VLOOKUP($B116,'Іменні заявки'!$A:$J,9,FALSE)</f>
        <v>#N/A</v>
      </c>
      <c r="K116" s="53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16" s="77" t="e">
        <f>VLOOKUP($B116,'Іменні заявки'!$A:$J,10,FALSE)</f>
        <v>#N/A</v>
      </c>
    </row>
    <row r="117" spans="1:12" ht="12.75" customHeight="1" hidden="1">
      <c r="A117" s="487"/>
      <c r="B117" s="56"/>
      <c r="C117" s="79" t="e">
        <f>VLOOKUP($B117,'Іменні заявки'!$A:$J,2,FALSE)</f>
        <v>#N/A</v>
      </c>
      <c r="D117" s="80" t="e">
        <f>VLOOKUP($B117,'Іменні заявки'!$A:$J,3,FALSE)</f>
        <v>#N/A</v>
      </c>
      <c r="E117" s="81" t="e">
        <f>VLOOKUP($B117,'Іменні заявки'!$A:$J,4,FALSE)</f>
        <v>#N/A</v>
      </c>
      <c r="F117" s="508"/>
      <c r="G117" s="511"/>
      <c r="H117" s="514"/>
      <c r="I117" s="514"/>
      <c r="J117" s="514"/>
      <c r="K117" s="55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17" s="82" t="e">
        <f>VLOOKUP($B117,'Іменні заявки'!$A:$J,10,FALSE)</f>
        <v>#N/A</v>
      </c>
    </row>
    <row r="118" spans="1:12" ht="12.75" customHeight="1" hidden="1">
      <c r="A118" s="487"/>
      <c r="B118" s="56"/>
      <c r="C118" s="79" t="e">
        <f>VLOOKUP($B118,'Іменні заявки'!$A:$J,2,FALSE)</f>
        <v>#N/A</v>
      </c>
      <c r="D118" s="80" t="e">
        <f>VLOOKUP($B118,'Іменні заявки'!$A:$J,3,FALSE)</f>
        <v>#N/A</v>
      </c>
      <c r="E118" s="81" t="e">
        <f>VLOOKUP($B118,'Іменні заявки'!$A:$J,4,FALSE)</f>
        <v>#N/A</v>
      </c>
      <c r="F118" s="508"/>
      <c r="G118" s="511"/>
      <c r="H118" s="514"/>
      <c r="I118" s="514"/>
      <c r="J118" s="514"/>
      <c r="K118" s="55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18" s="82" t="e">
        <f>VLOOKUP($B118,'Іменні заявки'!$A:$J,10,FALSE)</f>
        <v>#N/A</v>
      </c>
    </row>
    <row r="119" spans="1:12" ht="12.75" customHeight="1" hidden="1">
      <c r="A119" s="487"/>
      <c r="B119" s="56"/>
      <c r="C119" s="79" t="e">
        <f>VLOOKUP($B119,'Іменні заявки'!$A:$J,2,FALSE)</f>
        <v>#N/A</v>
      </c>
      <c r="D119" s="80" t="e">
        <f>VLOOKUP($B119,'Іменні заявки'!$A:$J,3,FALSE)</f>
        <v>#N/A</v>
      </c>
      <c r="E119" s="81" t="e">
        <f>VLOOKUP($B119,'Іменні заявки'!$A:$J,4,FALSE)</f>
        <v>#N/A</v>
      </c>
      <c r="F119" s="508"/>
      <c r="G119" s="511"/>
      <c r="H119" s="514"/>
      <c r="I119" s="514"/>
      <c r="J119" s="514"/>
      <c r="K119" s="55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19" s="82" t="e">
        <f>VLOOKUP($B119,'Іменні заявки'!$A:$J,10,FALSE)</f>
        <v>#N/A</v>
      </c>
    </row>
    <row r="120" spans="1:12" ht="12.75" customHeight="1" hidden="1">
      <c r="A120" s="487"/>
      <c r="B120" s="56"/>
      <c r="C120" s="79" t="e">
        <f>VLOOKUP($B120,'Іменні заявки'!$A:$J,2,FALSE)</f>
        <v>#N/A</v>
      </c>
      <c r="D120" s="80" t="e">
        <f>VLOOKUP($B120,'Іменні заявки'!$A:$J,3,FALSE)</f>
        <v>#N/A</v>
      </c>
      <c r="E120" s="81" t="e">
        <f>VLOOKUP($B120,'Іменні заявки'!$A:$J,4,FALSE)</f>
        <v>#N/A</v>
      </c>
      <c r="F120" s="508"/>
      <c r="G120" s="511"/>
      <c r="H120" s="514"/>
      <c r="I120" s="514"/>
      <c r="J120" s="514"/>
      <c r="K120" s="55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20" s="82" t="e">
        <f>VLOOKUP($B120,'Іменні заявки'!$A:$J,10,FALSE)</f>
        <v>#N/A</v>
      </c>
    </row>
    <row r="121" spans="1:12" ht="12.75" customHeight="1" hidden="1" thickBot="1">
      <c r="A121" s="506"/>
      <c r="B121" s="83"/>
      <c r="C121" s="84" t="e">
        <f>VLOOKUP($B121,'Іменні заявки'!$A:$J,2,FALSE)</f>
        <v>#N/A</v>
      </c>
      <c r="D121" s="85" t="e">
        <f>VLOOKUP($B121,'Іменні заявки'!$A:$J,3,FALSE)</f>
        <v>#N/A</v>
      </c>
      <c r="E121" s="86" t="e">
        <f>VLOOKUP($B121,'Іменні заявки'!$A:$J,4,FALSE)</f>
        <v>#N/A</v>
      </c>
      <c r="F121" s="509"/>
      <c r="G121" s="512"/>
      <c r="H121" s="515"/>
      <c r="I121" s="515"/>
      <c r="J121" s="515"/>
      <c r="K121" s="87" t="str">
        <f>IF(AND(OR($S$11="V",$S$11="IV"),$S$12&gt;=200,$S$14&lt;&gt;"—",G116&lt;=$S$14),"КМСУ",IF(AND($S$15&lt;&gt;"—",G116&lt;=$S$15),"І с.р.",IF(AND($S$16&lt;&gt;"—",G116&lt;=$S$16),"ІІ с.р.",IF(AND($S$17&lt;&gt;"—",G116&lt;=$S$17),"ІІІ с.р.","—"))))</f>
        <v>—</v>
      </c>
      <c r="L121" s="88" t="e">
        <f>VLOOKUP($B121,'Іменні заявки'!$A:$J,10,FALSE)</f>
        <v>#N/A</v>
      </c>
    </row>
    <row r="122" spans="1:12" ht="12.75" customHeight="1" hidden="1">
      <c r="A122" s="486">
        <v>19</v>
      </c>
      <c r="B122" s="54"/>
      <c r="C122" s="74" t="e">
        <f>VLOOKUP($B122,'Іменні заявки'!$A:$J,2,FALSE)</f>
        <v>#N/A</v>
      </c>
      <c r="D122" s="75" t="e">
        <f>VLOOKUP($B122,'Іменні заявки'!$A:$J,3,FALSE)</f>
        <v>#N/A</v>
      </c>
      <c r="E122" s="76" t="e">
        <f>VLOOKUP($B122,'Іменні заявки'!$A:$J,4,FALSE)</f>
        <v>#N/A</v>
      </c>
      <c r="F122" s="507" t="e">
        <f>VLOOKUP($B122-RIGHT($B122,1),'Проток.рез.КСП'!A:W,23,FALSE)</f>
        <v>#VALUE!</v>
      </c>
      <c r="G122" s="510" t="str">
        <f>IF(ISERROR($F122),"—",IF(OR(ISTEXT($F122),$F122=""),"—",IF(VLOOKUP($B122-RIGHT($B122,1),'Проток.рез.КСП'!A:Y,25,FALSE)&lt;&gt;"",VLOOKUP($B122-RIGHT($B122,1),'Проток.рез.КСП'!A:Y,25,FALSE),ROUND($F122/$F$14*100,2))))</f>
        <v>—</v>
      </c>
      <c r="H122" s="513" t="e">
        <f>VLOOKUP($B122,'Іменні заявки'!$A:$J,8,FALSE)</f>
        <v>#N/A</v>
      </c>
      <c r="I122" s="513" t="e">
        <f>VLOOKUP($B122,'Іменні заявки'!$A:$J,7,FALSE)</f>
        <v>#N/A</v>
      </c>
      <c r="J122" s="513" t="e">
        <f>VLOOKUP($B122,'Іменні заявки'!$A:$J,9,FALSE)</f>
        <v>#N/A</v>
      </c>
      <c r="K122" s="53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2" s="77" t="e">
        <f>VLOOKUP($B122,'Іменні заявки'!$A:$J,10,FALSE)</f>
        <v>#N/A</v>
      </c>
    </row>
    <row r="123" spans="1:12" ht="12.75" customHeight="1" hidden="1">
      <c r="A123" s="487"/>
      <c r="B123" s="56"/>
      <c r="C123" s="79" t="e">
        <f>VLOOKUP($B123,'Іменні заявки'!$A:$J,2,FALSE)</f>
        <v>#N/A</v>
      </c>
      <c r="D123" s="80" t="e">
        <f>VLOOKUP($B123,'Іменні заявки'!$A:$J,3,FALSE)</f>
        <v>#N/A</v>
      </c>
      <c r="E123" s="81" t="e">
        <f>VLOOKUP($B123,'Іменні заявки'!$A:$J,4,FALSE)</f>
        <v>#N/A</v>
      </c>
      <c r="F123" s="508"/>
      <c r="G123" s="511"/>
      <c r="H123" s="514"/>
      <c r="I123" s="514"/>
      <c r="J123" s="514"/>
      <c r="K123" s="55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3" s="82" t="e">
        <f>VLOOKUP($B123,'Іменні заявки'!$A:$J,10,FALSE)</f>
        <v>#N/A</v>
      </c>
    </row>
    <row r="124" spans="1:12" ht="12.75" customHeight="1" hidden="1">
      <c r="A124" s="487"/>
      <c r="B124" s="56"/>
      <c r="C124" s="79" t="e">
        <f>VLOOKUP($B124,'Іменні заявки'!$A:$J,2,FALSE)</f>
        <v>#N/A</v>
      </c>
      <c r="D124" s="80" t="e">
        <f>VLOOKUP($B124,'Іменні заявки'!$A:$J,3,FALSE)</f>
        <v>#N/A</v>
      </c>
      <c r="E124" s="81" t="e">
        <f>VLOOKUP($B124,'Іменні заявки'!$A:$J,4,FALSE)</f>
        <v>#N/A</v>
      </c>
      <c r="F124" s="508"/>
      <c r="G124" s="511"/>
      <c r="H124" s="514"/>
      <c r="I124" s="514"/>
      <c r="J124" s="514"/>
      <c r="K124" s="55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4" s="82" t="e">
        <f>VLOOKUP($B124,'Іменні заявки'!$A:$J,10,FALSE)</f>
        <v>#N/A</v>
      </c>
    </row>
    <row r="125" spans="1:12" ht="12.75" customHeight="1" hidden="1">
      <c r="A125" s="487"/>
      <c r="B125" s="56"/>
      <c r="C125" s="79" t="e">
        <f>VLOOKUP($B125,'Іменні заявки'!$A:$J,2,FALSE)</f>
        <v>#N/A</v>
      </c>
      <c r="D125" s="80" t="e">
        <f>VLOOKUP($B125,'Іменні заявки'!$A:$J,3,FALSE)</f>
        <v>#N/A</v>
      </c>
      <c r="E125" s="81" t="e">
        <f>VLOOKUP($B125,'Іменні заявки'!$A:$J,4,FALSE)</f>
        <v>#N/A</v>
      </c>
      <c r="F125" s="508"/>
      <c r="G125" s="511"/>
      <c r="H125" s="514"/>
      <c r="I125" s="514"/>
      <c r="J125" s="514"/>
      <c r="K125" s="55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5" s="82" t="e">
        <f>VLOOKUP($B125,'Іменні заявки'!$A:$J,10,FALSE)</f>
        <v>#N/A</v>
      </c>
    </row>
    <row r="126" spans="1:12" ht="12.75" customHeight="1" hidden="1">
      <c r="A126" s="487"/>
      <c r="B126" s="56"/>
      <c r="C126" s="79" t="e">
        <f>VLOOKUP($B126,'Іменні заявки'!$A:$J,2,FALSE)</f>
        <v>#N/A</v>
      </c>
      <c r="D126" s="80" t="e">
        <f>VLOOKUP($B126,'Іменні заявки'!$A:$J,3,FALSE)</f>
        <v>#N/A</v>
      </c>
      <c r="E126" s="81" t="e">
        <f>VLOOKUP($B126,'Іменні заявки'!$A:$J,4,FALSE)</f>
        <v>#N/A</v>
      </c>
      <c r="F126" s="508"/>
      <c r="G126" s="511"/>
      <c r="H126" s="514"/>
      <c r="I126" s="514"/>
      <c r="J126" s="514"/>
      <c r="K126" s="55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6" s="82" t="e">
        <f>VLOOKUP($B126,'Іменні заявки'!$A:$J,10,FALSE)</f>
        <v>#N/A</v>
      </c>
    </row>
    <row r="127" spans="1:12" ht="12.75" customHeight="1" hidden="1" thickBot="1">
      <c r="A127" s="506"/>
      <c r="B127" s="83"/>
      <c r="C127" s="84" t="e">
        <f>VLOOKUP($B127,'Іменні заявки'!$A:$J,2,FALSE)</f>
        <v>#N/A</v>
      </c>
      <c r="D127" s="85" t="e">
        <f>VLOOKUP($B127,'Іменні заявки'!$A:$J,3,FALSE)</f>
        <v>#N/A</v>
      </c>
      <c r="E127" s="86" t="e">
        <f>VLOOKUP($B127,'Іменні заявки'!$A:$J,4,FALSE)</f>
        <v>#N/A</v>
      </c>
      <c r="F127" s="509"/>
      <c r="G127" s="512"/>
      <c r="H127" s="515"/>
      <c r="I127" s="515"/>
      <c r="J127" s="515"/>
      <c r="K127" s="87" t="str">
        <f>IF(AND(OR($S$11="V",$S$11="IV"),$S$12&gt;=200,$S$14&lt;&gt;"—",G122&lt;=$S$14),"КМСУ",IF(AND($S$15&lt;&gt;"—",G122&lt;=$S$15),"І с.р.",IF(AND($S$16&lt;&gt;"—",G122&lt;=$S$16),"ІІ с.р.",IF(AND($S$17&lt;&gt;"—",G122&lt;=$S$17),"ІІІ с.р.","—"))))</f>
        <v>—</v>
      </c>
      <c r="L127" s="88" t="e">
        <f>VLOOKUP($B127,'Іменні заявки'!$A:$J,10,FALSE)</f>
        <v>#N/A</v>
      </c>
    </row>
    <row r="128" spans="1:12" ht="12.75" customHeight="1" hidden="1">
      <c r="A128" s="486">
        <v>20</v>
      </c>
      <c r="B128" s="54"/>
      <c r="C128" s="74" t="e">
        <f>VLOOKUP($B128,'Іменні заявки'!$A:$J,2,FALSE)</f>
        <v>#N/A</v>
      </c>
      <c r="D128" s="75" t="e">
        <f>VLOOKUP($B128,'Іменні заявки'!$A:$J,3,FALSE)</f>
        <v>#N/A</v>
      </c>
      <c r="E128" s="76" t="e">
        <f>VLOOKUP($B128,'Іменні заявки'!$A:$J,4,FALSE)</f>
        <v>#N/A</v>
      </c>
      <c r="F128" s="507" t="e">
        <f>VLOOKUP($B128-RIGHT($B128,1),'Проток.рез.КСП'!A:W,23,FALSE)</f>
        <v>#VALUE!</v>
      </c>
      <c r="G128" s="510" t="str">
        <f>IF(ISERROR($F128),"—",IF(OR(ISTEXT($F128),$F128=""),"—",IF(VLOOKUP($B128-RIGHT($B128,1),'Проток.рез.КСП'!A:Y,25,FALSE)&lt;&gt;"",VLOOKUP($B128-RIGHT($B128,1),'Проток.рез.КСП'!A:Y,25,FALSE),ROUND($F128/$F$14*100,2))))</f>
        <v>—</v>
      </c>
      <c r="H128" s="513" t="e">
        <f>VLOOKUP($B128,'Іменні заявки'!$A:$J,8,FALSE)</f>
        <v>#N/A</v>
      </c>
      <c r="I128" s="513" t="e">
        <f>VLOOKUP($B128,'Іменні заявки'!$A:$J,7,FALSE)</f>
        <v>#N/A</v>
      </c>
      <c r="J128" s="513" t="e">
        <f>VLOOKUP($B128,'Іменні заявки'!$A:$J,9,FALSE)</f>
        <v>#N/A</v>
      </c>
      <c r="K128" s="53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28" s="77" t="e">
        <f>VLOOKUP($B128,'Іменні заявки'!$A:$J,10,FALSE)</f>
        <v>#N/A</v>
      </c>
    </row>
    <row r="129" spans="1:12" ht="12.75" customHeight="1" hidden="1">
      <c r="A129" s="487"/>
      <c r="B129" s="56"/>
      <c r="C129" s="79" t="e">
        <f>VLOOKUP($B129,'Іменні заявки'!$A:$J,2,FALSE)</f>
        <v>#N/A</v>
      </c>
      <c r="D129" s="80" t="e">
        <f>VLOOKUP($B129,'Іменні заявки'!$A:$J,3,FALSE)</f>
        <v>#N/A</v>
      </c>
      <c r="E129" s="81" t="e">
        <f>VLOOKUP($B129,'Іменні заявки'!$A:$J,4,FALSE)</f>
        <v>#N/A</v>
      </c>
      <c r="F129" s="508"/>
      <c r="G129" s="511"/>
      <c r="H129" s="514"/>
      <c r="I129" s="514"/>
      <c r="J129" s="514"/>
      <c r="K129" s="55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29" s="82" t="e">
        <f>VLOOKUP($B129,'Іменні заявки'!$A:$J,10,FALSE)</f>
        <v>#N/A</v>
      </c>
    </row>
    <row r="130" spans="1:12" ht="12.75" customHeight="1" hidden="1">
      <c r="A130" s="487"/>
      <c r="B130" s="56"/>
      <c r="C130" s="79" t="e">
        <f>VLOOKUP($B130,'Іменні заявки'!$A:$J,2,FALSE)</f>
        <v>#N/A</v>
      </c>
      <c r="D130" s="80" t="e">
        <f>VLOOKUP($B130,'Іменні заявки'!$A:$J,3,FALSE)</f>
        <v>#N/A</v>
      </c>
      <c r="E130" s="81" t="e">
        <f>VLOOKUP($B130,'Іменні заявки'!$A:$J,4,FALSE)</f>
        <v>#N/A</v>
      </c>
      <c r="F130" s="508"/>
      <c r="G130" s="511"/>
      <c r="H130" s="514"/>
      <c r="I130" s="514"/>
      <c r="J130" s="514"/>
      <c r="K130" s="55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30" s="82" t="e">
        <f>VLOOKUP($B130,'Іменні заявки'!$A:$J,10,FALSE)</f>
        <v>#N/A</v>
      </c>
    </row>
    <row r="131" spans="1:12" ht="12.75" customHeight="1" hidden="1">
      <c r="A131" s="487"/>
      <c r="B131" s="56"/>
      <c r="C131" s="79" t="e">
        <f>VLOOKUP($B131,'Іменні заявки'!$A:$J,2,FALSE)</f>
        <v>#N/A</v>
      </c>
      <c r="D131" s="80" t="e">
        <f>VLOOKUP($B131,'Іменні заявки'!$A:$J,3,FALSE)</f>
        <v>#N/A</v>
      </c>
      <c r="E131" s="81" t="e">
        <f>VLOOKUP($B131,'Іменні заявки'!$A:$J,4,FALSE)</f>
        <v>#N/A</v>
      </c>
      <c r="F131" s="508"/>
      <c r="G131" s="511"/>
      <c r="H131" s="514"/>
      <c r="I131" s="514"/>
      <c r="J131" s="514"/>
      <c r="K131" s="55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31" s="82" t="e">
        <f>VLOOKUP($B131,'Іменні заявки'!$A:$J,10,FALSE)</f>
        <v>#N/A</v>
      </c>
    </row>
    <row r="132" spans="1:12" ht="12.75" customHeight="1" hidden="1">
      <c r="A132" s="487"/>
      <c r="B132" s="56"/>
      <c r="C132" s="79" t="e">
        <f>VLOOKUP($B132,'Іменні заявки'!$A:$J,2,FALSE)</f>
        <v>#N/A</v>
      </c>
      <c r="D132" s="80" t="e">
        <f>VLOOKUP($B132,'Іменні заявки'!$A:$J,3,FALSE)</f>
        <v>#N/A</v>
      </c>
      <c r="E132" s="81" t="e">
        <f>VLOOKUP($B132,'Іменні заявки'!$A:$J,4,FALSE)</f>
        <v>#N/A</v>
      </c>
      <c r="F132" s="508"/>
      <c r="G132" s="511"/>
      <c r="H132" s="514"/>
      <c r="I132" s="514"/>
      <c r="J132" s="514"/>
      <c r="K132" s="55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32" s="82" t="e">
        <f>VLOOKUP($B132,'Іменні заявки'!$A:$J,10,FALSE)</f>
        <v>#N/A</v>
      </c>
    </row>
    <row r="133" spans="1:12" ht="12.75" customHeight="1" hidden="1" thickBot="1">
      <c r="A133" s="506"/>
      <c r="B133" s="83"/>
      <c r="C133" s="84" t="e">
        <f>VLOOKUP($B133,'Іменні заявки'!$A:$J,2,FALSE)</f>
        <v>#N/A</v>
      </c>
      <c r="D133" s="85" t="e">
        <f>VLOOKUP($B133,'Іменні заявки'!$A:$J,3,FALSE)</f>
        <v>#N/A</v>
      </c>
      <c r="E133" s="86" t="e">
        <f>VLOOKUP($B133,'Іменні заявки'!$A:$J,4,FALSE)</f>
        <v>#N/A</v>
      </c>
      <c r="F133" s="509"/>
      <c r="G133" s="512"/>
      <c r="H133" s="515"/>
      <c r="I133" s="515"/>
      <c r="J133" s="515"/>
      <c r="K133" s="87" t="str">
        <f>IF(AND(OR($S$11="V",$S$11="IV"),$S$12&gt;=200,$S$14&lt;&gt;"—",G128&lt;=$S$14),"КМСУ",IF(AND($S$15&lt;&gt;"—",G128&lt;=$S$15),"І с.р.",IF(AND($S$16&lt;&gt;"—",G128&lt;=$S$16),"ІІ с.р.",IF(AND($S$17&lt;&gt;"—",G128&lt;=$S$17),"ІІІ с.р.","—"))))</f>
        <v>—</v>
      </c>
      <c r="L133" s="88" t="e">
        <f>VLOOKUP($B133,'Іменні заявки'!$A:$J,10,FALSE)</f>
        <v>#N/A</v>
      </c>
    </row>
    <row r="134" spans="1:12" ht="12.75" customHeight="1" hidden="1">
      <c r="A134" s="486">
        <v>21</v>
      </c>
      <c r="B134" s="54"/>
      <c r="C134" s="74" t="e">
        <f>VLOOKUP($B134,'Іменні заявки'!$A:$J,2,FALSE)</f>
        <v>#N/A</v>
      </c>
      <c r="D134" s="75" t="e">
        <f>VLOOKUP($B134,'Іменні заявки'!$A:$J,3,FALSE)</f>
        <v>#N/A</v>
      </c>
      <c r="E134" s="76" t="e">
        <f>VLOOKUP($B134,'Іменні заявки'!$A:$J,4,FALSE)</f>
        <v>#N/A</v>
      </c>
      <c r="F134" s="507" t="e">
        <f>VLOOKUP($B134-RIGHT($B134,1),'Проток.рез.КСП'!A:W,23,FALSE)</f>
        <v>#VALUE!</v>
      </c>
      <c r="G134" s="510" t="str">
        <f>IF(ISERROR($F134),"—",IF(OR(ISTEXT($F134),$F134=""),"—",IF(VLOOKUP($B134-RIGHT($B134,1),'Проток.рез.КСП'!A:Y,25,FALSE)&lt;&gt;"",VLOOKUP($B134-RIGHT($B134,1),'Проток.рез.КСП'!A:Y,25,FALSE),ROUND($F134/$F$14*100,2))))</f>
        <v>—</v>
      </c>
      <c r="H134" s="513" t="e">
        <f>VLOOKUP($B134,'Іменні заявки'!$A:$J,8,FALSE)</f>
        <v>#N/A</v>
      </c>
      <c r="I134" s="513" t="e">
        <f>VLOOKUP($B134,'Іменні заявки'!$A:$J,7,FALSE)</f>
        <v>#N/A</v>
      </c>
      <c r="J134" s="513" t="e">
        <f>VLOOKUP($B134,'Іменні заявки'!$A:$J,9,FALSE)</f>
        <v>#N/A</v>
      </c>
      <c r="K134" s="53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4" s="77" t="e">
        <f>VLOOKUP($B134,'Іменні заявки'!$A:$J,10,FALSE)</f>
        <v>#N/A</v>
      </c>
    </row>
    <row r="135" spans="1:12" ht="12.75" customHeight="1" hidden="1">
      <c r="A135" s="487"/>
      <c r="B135" s="56"/>
      <c r="C135" s="79" t="e">
        <f>VLOOKUP($B135,'Іменні заявки'!$A:$J,2,FALSE)</f>
        <v>#N/A</v>
      </c>
      <c r="D135" s="80" t="e">
        <f>VLOOKUP($B135,'Іменні заявки'!$A:$J,3,FALSE)</f>
        <v>#N/A</v>
      </c>
      <c r="E135" s="81" t="e">
        <f>VLOOKUP($B135,'Іменні заявки'!$A:$J,4,FALSE)</f>
        <v>#N/A</v>
      </c>
      <c r="F135" s="508"/>
      <c r="G135" s="511"/>
      <c r="H135" s="514"/>
      <c r="I135" s="514"/>
      <c r="J135" s="514"/>
      <c r="K135" s="55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5" s="82" t="e">
        <f>VLOOKUP($B135,'Іменні заявки'!$A:$J,10,FALSE)</f>
        <v>#N/A</v>
      </c>
    </row>
    <row r="136" spans="1:12" ht="12.75" customHeight="1" hidden="1">
      <c r="A136" s="487"/>
      <c r="B136" s="56"/>
      <c r="C136" s="79" t="e">
        <f>VLOOKUP($B136,'Іменні заявки'!$A:$J,2,FALSE)</f>
        <v>#N/A</v>
      </c>
      <c r="D136" s="80" t="e">
        <f>VLOOKUP($B136,'Іменні заявки'!$A:$J,3,FALSE)</f>
        <v>#N/A</v>
      </c>
      <c r="E136" s="81" t="e">
        <f>VLOOKUP($B136,'Іменні заявки'!$A:$J,4,FALSE)</f>
        <v>#N/A</v>
      </c>
      <c r="F136" s="508"/>
      <c r="G136" s="511"/>
      <c r="H136" s="514"/>
      <c r="I136" s="514"/>
      <c r="J136" s="514"/>
      <c r="K136" s="55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6" s="82" t="e">
        <f>VLOOKUP($B136,'Іменні заявки'!$A:$J,10,FALSE)</f>
        <v>#N/A</v>
      </c>
    </row>
    <row r="137" spans="1:12" ht="12.75" customHeight="1" hidden="1">
      <c r="A137" s="487"/>
      <c r="B137" s="56"/>
      <c r="C137" s="79" t="e">
        <f>VLOOKUP($B137,'Іменні заявки'!$A:$J,2,FALSE)</f>
        <v>#N/A</v>
      </c>
      <c r="D137" s="80" t="e">
        <f>VLOOKUP($B137,'Іменні заявки'!$A:$J,3,FALSE)</f>
        <v>#N/A</v>
      </c>
      <c r="E137" s="81" t="e">
        <f>VLOOKUP($B137,'Іменні заявки'!$A:$J,4,FALSE)</f>
        <v>#N/A</v>
      </c>
      <c r="F137" s="508"/>
      <c r="G137" s="511"/>
      <c r="H137" s="514"/>
      <c r="I137" s="514"/>
      <c r="J137" s="514"/>
      <c r="K137" s="55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7" s="82" t="e">
        <f>VLOOKUP($B137,'Іменні заявки'!$A:$J,10,FALSE)</f>
        <v>#N/A</v>
      </c>
    </row>
    <row r="138" spans="1:12" ht="12.75" customHeight="1" hidden="1">
      <c r="A138" s="487"/>
      <c r="B138" s="56"/>
      <c r="C138" s="79" t="e">
        <f>VLOOKUP($B138,'Іменні заявки'!$A:$J,2,FALSE)</f>
        <v>#N/A</v>
      </c>
      <c r="D138" s="80" t="e">
        <f>VLOOKUP($B138,'Іменні заявки'!$A:$J,3,FALSE)</f>
        <v>#N/A</v>
      </c>
      <c r="E138" s="81" t="e">
        <f>VLOOKUP($B138,'Іменні заявки'!$A:$J,4,FALSE)</f>
        <v>#N/A</v>
      </c>
      <c r="F138" s="508"/>
      <c r="G138" s="511"/>
      <c r="H138" s="514"/>
      <c r="I138" s="514"/>
      <c r="J138" s="514"/>
      <c r="K138" s="55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8" s="82" t="e">
        <f>VLOOKUP($B138,'Іменні заявки'!$A:$J,10,FALSE)</f>
        <v>#N/A</v>
      </c>
    </row>
    <row r="139" spans="1:12" ht="12.75" customHeight="1" hidden="1" thickBot="1">
      <c r="A139" s="506"/>
      <c r="B139" s="83"/>
      <c r="C139" s="84" t="e">
        <f>VLOOKUP($B139,'Іменні заявки'!$A:$J,2,FALSE)</f>
        <v>#N/A</v>
      </c>
      <c r="D139" s="85" t="e">
        <f>VLOOKUP($B139,'Іменні заявки'!$A:$J,3,FALSE)</f>
        <v>#N/A</v>
      </c>
      <c r="E139" s="86" t="e">
        <f>VLOOKUP($B139,'Іменні заявки'!$A:$J,4,FALSE)</f>
        <v>#N/A</v>
      </c>
      <c r="F139" s="509"/>
      <c r="G139" s="512"/>
      <c r="H139" s="515"/>
      <c r="I139" s="515"/>
      <c r="J139" s="515"/>
      <c r="K139" s="87" t="str">
        <f>IF(AND(OR($S$11="V",$S$11="IV"),$S$12&gt;=200,$S$14&lt;&gt;"—",G134&lt;=$S$14),"КМСУ",IF(AND($S$15&lt;&gt;"—",G134&lt;=$S$15),"І с.р.",IF(AND($S$16&lt;&gt;"—",G134&lt;=$S$16),"ІІ с.р.",IF(AND($S$17&lt;&gt;"—",G134&lt;=$S$17),"ІІІ с.р.","—"))))</f>
        <v>—</v>
      </c>
      <c r="L139" s="88" t="e">
        <f>VLOOKUP($B139,'Іменні заявки'!$A:$J,10,FALSE)</f>
        <v>#N/A</v>
      </c>
    </row>
    <row r="140" spans="1:12" ht="12.75" customHeight="1" hidden="1">
      <c r="A140" s="486">
        <v>22</v>
      </c>
      <c r="B140" s="54"/>
      <c r="C140" s="74" t="e">
        <f>VLOOKUP($B140,'Іменні заявки'!$A:$J,2,FALSE)</f>
        <v>#N/A</v>
      </c>
      <c r="D140" s="75" t="e">
        <f>VLOOKUP($B140,'Іменні заявки'!$A:$J,3,FALSE)</f>
        <v>#N/A</v>
      </c>
      <c r="E140" s="76" t="e">
        <f>VLOOKUP($B140,'Іменні заявки'!$A:$J,4,FALSE)</f>
        <v>#N/A</v>
      </c>
      <c r="F140" s="507" t="e">
        <f>VLOOKUP($B140-RIGHT($B140,1),'Проток.рез.КСП'!A:W,23,FALSE)</f>
        <v>#VALUE!</v>
      </c>
      <c r="G140" s="510" t="str">
        <f>IF(ISERROR($F140),"—",IF(OR(ISTEXT($F140),$F140=""),"—",IF(VLOOKUP($B140-RIGHT($B140,1),'Проток.рез.КСП'!A:Y,25,FALSE)&lt;&gt;"",VLOOKUP($B140-RIGHT($B140,1),'Проток.рез.КСП'!A:Y,25,FALSE),ROUND($F140/$F$14*100,2))))</f>
        <v>—</v>
      </c>
      <c r="H140" s="513" t="e">
        <f>VLOOKUP($B140,'Іменні заявки'!$A:$J,8,FALSE)</f>
        <v>#N/A</v>
      </c>
      <c r="I140" s="513" t="e">
        <f>VLOOKUP($B140,'Іменні заявки'!$A:$J,7,FALSE)</f>
        <v>#N/A</v>
      </c>
      <c r="J140" s="513" t="e">
        <f>VLOOKUP($B140,'Іменні заявки'!$A:$J,9,FALSE)</f>
        <v>#N/A</v>
      </c>
      <c r="K140" s="53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0" s="77" t="e">
        <f>VLOOKUP($B140,'Іменні заявки'!$A:$J,10,FALSE)</f>
        <v>#N/A</v>
      </c>
    </row>
    <row r="141" spans="1:12" ht="12.75" customHeight="1" hidden="1">
      <c r="A141" s="487"/>
      <c r="B141" s="56"/>
      <c r="C141" s="79" t="e">
        <f>VLOOKUP($B141,'Іменні заявки'!$A:$J,2,FALSE)</f>
        <v>#N/A</v>
      </c>
      <c r="D141" s="80" t="e">
        <f>VLOOKUP($B141,'Іменні заявки'!$A:$J,3,FALSE)</f>
        <v>#N/A</v>
      </c>
      <c r="E141" s="81" t="e">
        <f>VLOOKUP($B141,'Іменні заявки'!$A:$J,4,FALSE)</f>
        <v>#N/A</v>
      </c>
      <c r="F141" s="508"/>
      <c r="G141" s="511"/>
      <c r="H141" s="514"/>
      <c r="I141" s="514"/>
      <c r="J141" s="514"/>
      <c r="K141" s="55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1" s="82" t="e">
        <f>VLOOKUP($B141,'Іменні заявки'!$A:$J,10,FALSE)</f>
        <v>#N/A</v>
      </c>
    </row>
    <row r="142" spans="1:12" ht="12.75" customHeight="1" hidden="1">
      <c r="A142" s="487"/>
      <c r="B142" s="56"/>
      <c r="C142" s="79" t="e">
        <f>VLOOKUP($B142,'Іменні заявки'!$A:$J,2,FALSE)</f>
        <v>#N/A</v>
      </c>
      <c r="D142" s="80" t="e">
        <f>VLOOKUP($B142,'Іменні заявки'!$A:$J,3,FALSE)</f>
        <v>#N/A</v>
      </c>
      <c r="E142" s="81" t="e">
        <f>VLOOKUP($B142,'Іменні заявки'!$A:$J,4,FALSE)</f>
        <v>#N/A</v>
      </c>
      <c r="F142" s="508"/>
      <c r="G142" s="511"/>
      <c r="H142" s="514"/>
      <c r="I142" s="514"/>
      <c r="J142" s="514"/>
      <c r="K142" s="55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2" s="82" t="e">
        <f>VLOOKUP($B142,'Іменні заявки'!$A:$J,10,FALSE)</f>
        <v>#N/A</v>
      </c>
    </row>
    <row r="143" spans="1:12" ht="12.75" customHeight="1" hidden="1">
      <c r="A143" s="487"/>
      <c r="B143" s="56"/>
      <c r="C143" s="79" t="e">
        <f>VLOOKUP($B143,'Іменні заявки'!$A:$J,2,FALSE)</f>
        <v>#N/A</v>
      </c>
      <c r="D143" s="80" t="e">
        <f>VLOOKUP($B143,'Іменні заявки'!$A:$J,3,FALSE)</f>
        <v>#N/A</v>
      </c>
      <c r="E143" s="81" t="e">
        <f>VLOOKUP($B143,'Іменні заявки'!$A:$J,4,FALSE)</f>
        <v>#N/A</v>
      </c>
      <c r="F143" s="508"/>
      <c r="G143" s="511"/>
      <c r="H143" s="514"/>
      <c r="I143" s="514"/>
      <c r="J143" s="514"/>
      <c r="K143" s="55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3" s="82" t="e">
        <f>VLOOKUP($B143,'Іменні заявки'!$A:$J,10,FALSE)</f>
        <v>#N/A</v>
      </c>
    </row>
    <row r="144" spans="1:12" ht="12.75" customHeight="1" hidden="1">
      <c r="A144" s="487"/>
      <c r="B144" s="56"/>
      <c r="C144" s="79" t="e">
        <f>VLOOKUP($B144,'Іменні заявки'!$A:$J,2,FALSE)</f>
        <v>#N/A</v>
      </c>
      <c r="D144" s="80" t="e">
        <f>VLOOKUP($B144,'Іменні заявки'!$A:$J,3,FALSE)</f>
        <v>#N/A</v>
      </c>
      <c r="E144" s="81" t="e">
        <f>VLOOKUP($B144,'Іменні заявки'!$A:$J,4,FALSE)</f>
        <v>#N/A</v>
      </c>
      <c r="F144" s="508"/>
      <c r="G144" s="511"/>
      <c r="H144" s="514"/>
      <c r="I144" s="514"/>
      <c r="J144" s="514"/>
      <c r="K144" s="55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4" s="82" t="e">
        <f>VLOOKUP($B144,'Іменні заявки'!$A:$J,10,FALSE)</f>
        <v>#N/A</v>
      </c>
    </row>
    <row r="145" spans="1:12" ht="12.75" customHeight="1" hidden="1" thickBot="1">
      <c r="A145" s="506"/>
      <c r="B145" s="83"/>
      <c r="C145" s="84" t="e">
        <f>VLOOKUP($B145,'Іменні заявки'!$A:$J,2,FALSE)</f>
        <v>#N/A</v>
      </c>
      <c r="D145" s="85" t="e">
        <f>VLOOKUP($B145,'Іменні заявки'!$A:$J,3,FALSE)</f>
        <v>#N/A</v>
      </c>
      <c r="E145" s="86" t="e">
        <f>VLOOKUP($B145,'Іменні заявки'!$A:$J,4,FALSE)</f>
        <v>#N/A</v>
      </c>
      <c r="F145" s="509"/>
      <c r="G145" s="512"/>
      <c r="H145" s="515"/>
      <c r="I145" s="515"/>
      <c r="J145" s="515"/>
      <c r="K145" s="87" t="str">
        <f>IF(AND(OR($S$11="V",$S$11="IV"),$S$12&gt;=200,$S$14&lt;&gt;"—",G140&lt;=$S$14),"КМСУ",IF(AND($S$15&lt;&gt;"—",G140&lt;=$S$15),"І с.р.",IF(AND($S$16&lt;&gt;"—",G140&lt;=$S$16),"ІІ с.р.",IF(AND($S$17&lt;&gt;"—",G140&lt;=$S$17),"ІІІ с.р.","—"))))</f>
        <v>—</v>
      </c>
      <c r="L145" s="88" t="e">
        <f>VLOOKUP($B145,'Іменні заявки'!$A:$J,10,FALSE)</f>
        <v>#N/A</v>
      </c>
    </row>
    <row r="146" spans="1:12" ht="12.75" customHeight="1" hidden="1">
      <c r="A146" s="486">
        <v>23</v>
      </c>
      <c r="B146" s="54"/>
      <c r="C146" s="74" t="e">
        <f>VLOOKUP($B146,'Іменні заявки'!$A:$J,2,FALSE)</f>
        <v>#N/A</v>
      </c>
      <c r="D146" s="75" t="e">
        <f>VLOOKUP($B146,'Іменні заявки'!$A:$J,3,FALSE)</f>
        <v>#N/A</v>
      </c>
      <c r="E146" s="76" t="e">
        <f>VLOOKUP($B146,'Іменні заявки'!$A:$J,4,FALSE)</f>
        <v>#N/A</v>
      </c>
      <c r="F146" s="507" t="e">
        <f>VLOOKUP($B146-RIGHT($B146,1),'Проток.рез.КСП'!A:W,23,FALSE)</f>
        <v>#VALUE!</v>
      </c>
      <c r="G146" s="510" t="str">
        <f>IF(ISERROR($F146),"—",IF(OR(ISTEXT($F146),$F146=""),"—",IF(VLOOKUP($B146-RIGHT($B146,1),'Проток.рез.КСП'!A:Y,25,FALSE)&lt;&gt;"",VLOOKUP($B146-RIGHT($B146,1),'Проток.рез.КСП'!A:Y,25,FALSE),ROUND($F146/$F$14*100,2))))</f>
        <v>—</v>
      </c>
      <c r="H146" s="513" t="e">
        <f>VLOOKUP($B146,'Іменні заявки'!$A:$J,8,FALSE)</f>
        <v>#N/A</v>
      </c>
      <c r="I146" s="513" t="e">
        <f>VLOOKUP($B146,'Іменні заявки'!$A:$J,7,FALSE)</f>
        <v>#N/A</v>
      </c>
      <c r="J146" s="513" t="e">
        <f>VLOOKUP($B146,'Іменні заявки'!$A:$J,9,FALSE)</f>
        <v>#N/A</v>
      </c>
      <c r="K146" s="53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46" s="77" t="e">
        <f>VLOOKUP($B146,'Іменні заявки'!$A:$J,10,FALSE)</f>
        <v>#N/A</v>
      </c>
    </row>
    <row r="147" spans="1:12" ht="12.75" customHeight="1" hidden="1">
      <c r="A147" s="487"/>
      <c r="B147" s="56"/>
      <c r="C147" s="79" t="e">
        <f>VLOOKUP($B147,'Іменні заявки'!$A:$J,2,FALSE)</f>
        <v>#N/A</v>
      </c>
      <c r="D147" s="80" t="e">
        <f>VLOOKUP($B147,'Іменні заявки'!$A:$J,3,FALSE)</f>
        <v>#N/A</v>
      </c>
      <c r="E147" s="81" t="e">
        <f>VLOOKUP($B147,'Іменні заявки'!$A:$J,4,FALSE)</f>
        <v>#N/A</v>
      </c>
      <c r="F147" s="508"/>
      <c r="G147" s="511"/>
      <c r="H147" s="514"/>
      <c r="I147" s="514"/>
      <c r="J147" s="514"/>
      <c r="K147" s="55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47" s="82" t="e">
        <f>VLOOKUP($B147,'Іменні заявки'!$A:$J,10,FALSE)</f>
        <v>#N/A</v>
      </c>
    </row>
    <row r="148" spans="1:12" ht="12.75" customHeight="1" hidden="1">
      <c r="A148" s="487"/>
      <c r="B148" s="56"/>
      <c r="C148" s="79" t="e">
        <f>VLOOKUP($B148,'Іменні заявки'!$A:$J,2,FALSE)</f>
        <v>#N/A</v>
      </c>
      <c r="D148" s="80" t="e">
        <f>VLOOKUP($B148,'Іменні заявки'!$A:$J,3,FALSE)</f>
        <v>#N/A</v>
      </c>
      <c r="E148" s="81" t="e">
        <f>VLOOKUP($B148,'Іменні заявки'!$A:$J,4,FALSE)</f>
        <v>#N/A</v>
      </c>
      <c r="F148" s="508"/>
      <c r="G148" s="511"/>
      <c r="H148" s="514"/>
      <c r="I148" s="514"/>
      <c r="J148" s="514"/>
      <c r="K148" s="55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48" s="82" t="e">
        <f>VLOOKUP($B148,'Іменні заявки'!$A:$J,10,FALSE)</f>
        <v>#N/A</v>
      </c>
    </row>
    <row r="149" spans="1:12" ht="12.75" customHeight="1" hidden="1">
      <c r="A149" s="487"/>
      <c r="B149" s="56"/>
      <c r="C149" s="79" t="e">
        <f>VLOOKUP($B149,'Іменні заявки'!$A:$J,2,FALSE)</f>
        <v>#N/A</v>
      </c>
      <c r="D149" s="80" t="e">
        <f>VLOOKUP($B149,'Іменні заявки'!$A:$J,3,FALSE)</f>
        <v>#N/A</v>
      </c>
      <c r="E149" s="81" t="e">
        <f>VLOOKUP($B149,'Іменні заявки'!$A:$J,4,FALSE)</f>
        <v>#N/A</v>
      </c>
      <c r="F149" s="508"/>
      <c r="G149" s="511"/>
      <c r="H149" s="514"/>
      <c r="I149" s="514"/>
      <c r="J149" s="514"/>
      <c r="K149" s="55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49" s="82" t="e">
        <f>VLOOKUP($B149,'Іменні заявки'!$A:$J,10,FALSE)</f>
        <v>#N/A</v>
      </c>
    </row>
    <row r="150" spans="1:12" ht="12.75" customHeight="1" hidden="1">
      <c r="A150" s="487"/>
      <c r="B150" s="56"/>
      <c r="C150" s="79" t="e">
        <f>VLOOKUP($B150,'Іменні заявки'!$A:$J,2,FALSE)</f>
        <v>#N/A</v>
      </c>
      <c r="D150" s="80" t="e">
        <f>VLOOKUP($B150,'Іменні заявки'!$A:$J,3,FALSE)</f>
        <v>#N/A</v>
      </c>
      <c r="E150" s="81" t="e">
        <f>VLOOKUP($B150,'Іменні заявки'!$A:$J,4,FALSE)</f>
        <v>#N/A</v>
      </c>
      <c r="F150" s="508"/>
      <c r="G150" s="511"/>
      <c r="H150" s="514"/>
      <c r="I150" s="514"/>
      <c r="J150" s="514"/>
      <c r="K150" s="55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50" s="82" t="e">
        <f>VLOOKUP($B150,'Іменні заявки'!$A:$J,10,FALSE)</f>
        <v>#N/A</v>
      </c>
    </row>
    <row r="151" spans="1:12" ht="12.75" customHeight="1" hidden="1" thickBot="1">
      <c r="A151" s="506"/>
      <c r="B151" s="83"/>
      <c r="C151" s="84" t="e">
        <f>VLOOKUP($B151,'Іменні заявки'!$A:$J,2,FALSE)</f>
        <v>#N/A</v>
      </c>
      <c r="D151" s="85" t="e">
        <f>VLOOKUP($B151,'Іменні заявки'!$A:$J,3,FALSE)</f>
        <v>#N/A</v>
      </c>
      <c r="E151" s="86" t="e">
        <f>VLOOKUP($B151,'Іменні заявки'!$A:$J,4,FALSE)</f>
        <v>#N/A</v>
      </c>
      <c r="F151" s="509"/>
      <c r="G151" s="512"/>
      <c r="H151" s="515"/>
      <c r="I151" s="515"/>
      <c r="J151" s="515"/>
      <c r="K151" s="87" t="str">
        <f>IF(AND(OR($S$11="V",$S$11="IV"),$S$12&gt;=200,$S$14&lt;&gt;"—",G146&lt;=$S$14),"КМСУ",IF(AND($S$15&lt;&gt;"—",G146&lt;=$S$15),"І с.р.",IF(AND($S$16&lt;&gt;"—",G146&lt;=$S$16),"ІІ с.р.",IF(AND($S$17&lt;&gt;"—",G146&lt;=$S$17),"ІІІ с.р.","—"))))</f>
        <v>—</v>
      </c>
      <c r="L151" s="88" t="e">
        <f>VLOOKUP($B151,'Іменні заявки'!$A:$J,10,FALSE)</f>
        <v>#N/A</v>
      </c>
    </row>
    <row r="152" spans="1:12" ht="12.75" customHeight="1" hidden="1">
      <c r="A152" s="486">
        <v>24</v>
      </c>
      <c r="B152" s="54"/>
      <c r="C152" s="74" t="e">
        <f>VLOOKUP($B152,'Іменні заявки'!$A:$J,2,FALSE)</f>
        <v>#N/A</v>
      </c>
      <c r="D152" s="75" t="e">
        <f>VLOOKUP($B152,'Іменні заявки'!$A:$J,3,FALSE)</f>
        <v>#N/A</v>
      </c>
      <c r="E152" s="76" t="e">
        <f>VLOOKUP($B152,'Іменні заявки'!$A:$J,4,FALSE)</f>
        <v>#N/A</v>
      </c>
      <c r="F152" s="507" t="e">
        <f>VLOOKUP($B152-RIGHT($B152,1),'Проток.рез.КСП'!A:W,23,FALSE)</f>
        <v>#VALUE!</v>
      </c>
      <c r="G152" s="510" t="str">
        <f>IF(ISERROR($F152),"—",IF(OR(ISTEXT($F152),$F152=""),"—",IF(VLOOKUP($B152-RIGHT($B152,1),'Проток.рез.КСП'!A:Y,25,FALSE)&lt;&gt;"",VLOOKUP($B152-RIGHT($B152,1),'Проток.рез.КСП'!A:Y,25,FALSE),ROUND($F152/$F$14*100,2))))</f>
        <v>—</v>
      </c>
      <c r="H152" s="513" t="e">
        <f>VLOOKUP($B152,'Іменні заявки'!$A:$J,8,FALSE)</f>
        <v>#N/A</v>
      </c>
      <c r="I152" s="513" t="e">
        <f>VLOOKUP($B152,'Іменні заявки'!$A:$J,7,FALSE)</f>
        <v>#N/A</v>
      </c>
      <c r="J152" s="513" t="e">
        <f>VLOOKUP($B152,'Іменні заявки'!$A:$J,9,FALSE)</f>
        <v>#N/A</v>
      </c>
      <c r="K152" s="53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2" s="77" t="e">
        <f>VLOOKUP($B152,'Іменні заявки'!$A:$J,10,FALSE)</f>
        <v>#N/A</v>
      </c>
    </row>
    <row r="153" spans="1:12" ht="12.75" customHeight="1" hidden="1">
      <c r="A153" s="487"/>
      <c r="B153" s="56"/>
      <c r="C153" s="79" t="e">
        <f>VLOOKUP($B153,'Іменні заявки'!$A:$J,2,FALSE)</f>
        <v>#N/A</v>
      </c>
      <c r="D153" s="80" t="e">
        <f>VLOOKUP($B153,'Іменні заявки'!$A:$J,3,FALSE)</f>
        <v>#N/A</v>
      </c>
      <c r="E153" s="81" t="e">
        <f>VLOOKUP($B153,'Іменні заявки'!$A:$J,4,FALSE)</f>
        <v>#N/A</v>
      </c>
      <c r="F153" s="508"/>
      <c r="G153" s="511"/>
      <c r="H153" s="514"/>
      <c r="I153" s="514"/>
      <c r="J153" s="514"/>
      <c r="K153" s="55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3" s="82" t="e">
        <f>VLOOKUP($B153,'Іменні заявки'!$A:$J,10,FALSE)</f>
        <v>#N/A</v>
      </c>
    </row>
    <row r="154" spans="1:12" ht="12.75" customHeight="1" hidden="1">
      <c r="A154" s="487"/>
      <c r="B154" s="56"/>
      <c r="C154" s="79" t="e">
        <f>VLOOKUP($B154,'Іменні заявки'!$A:$J,2,FALSE)</f>
        <v>#N/A</v>
      </c>
      <c r="D154" s="80" t="e">
        <f>VLOOKUP($B154,'Іменні заявки'!$A:$J,3,FALSE)</f>
        <v>#N/A</v>
      </c>
      <c r="E154" s="81" t="e">
        <f>VLOOKUP($B154,'Іменні заявки'!$A:$J,4,FALSE)</f>
        <v>#N/A</v>
      </c>
      <c r="F154" s="508"/>
      <c r="G154" s="511"/>
      <c r="H154" s="514"/>
      <c r="I154" s="514"/>
      <c r="J154" s="514"/>
      <c r="K154" s="55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4" s="82" t="e">
        <f>VLOOKUP($B154,'Іменні заявки'!$A:$J,10,FALSE)</f>
        <v>#N/A</v>
      </c>
    </row>
    <row r="155" spans="1:12" ht="12.75" customHeight="1" hidden="1">
      <c r="A155" s="487"/>
      <c r="B155" s="56"/>
      <c r="C155" s="79" t="e">
        <f>VLOOKUP($B155,'Іменні заявки'!$A:$J,2,FALSE)</f>
        <v>#N/A</v>
      </c>
      <c r="D155" s="80" t="e">
        <f>VLOOKUP($B155,'Іменні заявки'!$A:$J,3,FALSE)</f>
        <v>#N/A</v>
      </c>
      <c r="E155" s="81" t="e">
        <f>VLOOKUP($B155,'Іменні заявки'!$A:$J,4,FALSE)</f>
        <v>#N/A</v>
      </c>
      <c r="F155" s="508"/>
      <c r="G155" s="511"/>
      <c r="H155" s="514"/>
      <c r="I155" s="514"/>
      <c r="J155" s="514"/>
      <c r="K155" s="55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5" s="82" t="e">
        <f>VLOOKUP($B155,'Іменні заявки'!$A:$J,10,FALSE)</f>
        <v>#N/A</v>
      </c>
    </row>
    <row r="156" spans="1:12" ht="12.75" customHeight="1" hidden="1">
      <c r="A156" s="487"/>
      <c r="B156" s="56"/>
      <c r="C156" s="79" t="e">
        <f>VLOOKUP($B156,'Іменні заявки'!$A:$J,2,FALSE)</f>
        <v>#N/A</v>
      </c>
      <c r="D156" s="80" t="e">
        <f>VLOOKUP($B156,'Іменні заявки'!$A:$J,3,FALSE)</f>
        <v>#N/A</v>
      </c>
      <c r="E156" s="81" t="e">
        <f>VLOOKUP($B156,'Іменні заявки'!$A:$J,4,FALSE)</f>
        <v>#N/A</v>
      </c>
      <c r="F156" s="508"/>
      <c r="G156" s="511"/>
      <c r="H156" s="514"/>
      <c r="I156" s="514"/>
      <c r="J156" s="514"/>
      <c r="K156" s="55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6" s="82" t="e">
        <f>VLOOKUP($B156,'Іменні заявки'!$A:$J,10,FALSE)</f>
        <v>#N/A</v>
      </c>
    </row>
    <row r="157" spans="1:12" ht="12.75" customHeight="1" hidden="1" thickBot="1">
      <c r="A157" s="506"/>
      <c r="B157" s="83"/>
      <c r="C157" s="84" t="e">
        <f>VLOOKUP($B157,'Іменні заявки'!$A:$J,2,FALSE)</f>
        <v>#N/A</v>
      </c>
      <c r="D157" s="85" t="e">
        <f>VLOOKUP($B157,'Іменні заявки'!$A:$J,3,FALSE)</f>
        <v>#N/A</v>
      </c>
      <c r="E157" s="86" t="e">
        <f>VLOOKUP($B157,'Іменні заявки'!$A:$J,4,FALSE)</f>
        <v>#N/A</v>
      </c>
      <c r="F157" s="509"/>
      <c r="G157" s="512"/>
      <c r="H157" s="515"/>
      <c r="I157" s="515"/>
      <c r="J157" s="515"/>
      <c r="K157" s="87" t="str">
        <f>IF(AND(OR($S$11="V",$S$11="IV"),$S$12&gt;=200,$S$14&lt;&gt;"—",G152&lt;=$S$14),"КМСУ",IF(AND($S$15&lt;&gt;"—",G152&lt;=$S$15),"І с.р.",IF(AND($S$16&lt;&gt;"—",G152&lt;=$S$16),"ІІ с.р.",IF(AND($S$17&lt;&gt;"—",G152&lt;=$S$17),"ІІІ с.р.","—"))))</f>
        <v>—</v>
      </c>
      <c r="L157" s="88" t="e">
        <f>VLOOKUP($B157,'Іменні заявки'!$A:$J,10,FALSE)</f>
        <v>#N/A</v>
      </c>
    </row>
    <row r="158" spans="1:12" ht="12.75" customHeight="1" hidden="1">
      <c r="A158" s="486">
        <v>25</v>
      </c>
      <c r="B158" s="54"/>
      <c r="C158" s="74" t="e">
        <f>VLOOKUP($B158,'Іменні заявки'!$A:$J,2,FALSE)</f>
        <v>#N/A</v>
      </c>
      <c r="D158" s="75" t="e">
        <f>VLOOKUP($B158,'Іменні заявки'!$A:$J,3,FALSE)</f>
        <v>#N/A</v>
      </c>
      <c r="E158" s="76" t="e">
        <f>VLOOKUP($B158,'Іменні заявки'!$A:$J,4,FALSE)</f>
        <v>#N/A</v>
      </c>
      <c r="F158" s="507" t="e">
        <f>VLOOKUP($B158-RIGHT($B158,1),'Проток.рез.КСП'!A:W,23,FALSE)</f>
        <v>#VALUE!</v>
      </c>
      <c r="G158" s="510" t="str">
        <f>IF(ISERROR($F158),"—",IF(OR(ISTEXT($F158),$F158=""),"—",IF(VLOOKUP($B158-RIGHT($B158,1),'Проток.рез.КСП'!A:Y,25,FALSE)&lt;&gt;"",VLOOKUP($B158-RIGHT($B158,1),'Проток.рез.КСП'!A:Y,25,FALSE),ROUND($F158/$F$14*100,2))))</f>
        <v>—</v>
      </c>
      <c r="H158" s="513" t="e">
        <f>VLOOKUP($B158,'Іменні заявки'!$A:$J,8,FALSE)</f>
        <v>#N/A</v>
      </c>
      <c r="I158" s="513" t="e">
        <f>VLOOKUP($B158,'Іменні заявки'!$A:$J,7,FALSE)</f>
        <v>#N/A</v>
      </c>
      <c r="J158" s="513" t="e">
        <f>VLOOKUP($B158,'Іменні заявки'!$A:$J,9,FALSE)</f>
        <v>#N/A</v>
      </c>
      <c r="K158" s="53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58" s="77" t="e">
        <f>VLOOKUP($B158,'Іменні заявки'!$A:$J,10,FALSE)</f>
        <v>#N/A</v>
      </c>
    </row>
    <row r="159" spans="1:12" ht="12.75" customHeight="1" hidden="1">
      <c r="A159" s="487"/>
      <c r="B159" s="56"/>
      <c r="C159" s="79" t="e">
        <f>VLOOKUP($B159,'Іменні заявки'!$A:$J,2,FALSE)</f>
        <v>#N/A</v>
      </c>
      <c r="D159" s="80" t="e">
        <f>VLOOKUP($B159,'Іменні заявки'!$A:$J,3,FALSE)</f>
        <v>#N/A</v>
      </c>
      <c r="E159" s="81" t="e">
        <f>VLOOKUP($B159,'Іменні заявки'!$A:$J,4,FALSE)</f>
        <v>#N/A</v>
      </c>
      <c r="F159" s="508"/>
      <c r="G159" s="511"/>
      <c r="H159" s="514"/>
      <c r="I159" s="514"/>
      <c r="J159" s="514"/>
      <c r="K159" s="55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59" s="82" t="e">
        <f>VLOOKUP($B159,'Іменні заявки'!$A:$J,10,FALSE)</f>
        <v>#N/A</v>
      </c>
    </row>
    <row r="160" spans="1:12" ht="12.75" customHeight="1" hidden="1">
      <c r="A160" s="487"/>
      <c r="B160" s="56"/>
      <c r="C160" s="79" t="e">
        <f>VLOOKUP($B160,'Іменні заявки'!$A:$J,2,FALSE)</f>
        <v>#N/A</v>
      </c>
      <c r="D160" s="80" t="e">
        <f>VLOOKUP($B160,'Іменні заявки'!$A:$J,3,FALSE)</f>
        <v>#N/A</v>
      </c>
      <c r="E160" s="81" t="e">
        <f>VLOOKUP($B160,'Іменні заявки'!$A:$J,4,FALSE)</f>
        <v>#N/A</v>
      </c>
      <c r="F160" s="508"/>
      <c r="G160" s="511"/>
      <c r="H160" s="514"/>
      <c r="I160" s="514"/>
      <c r="J160" s="514"/>
      <c r="K160" s="55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60" s="82" t="e">
        <f>VLOOKUP($B160,'Іменні заявки'!$A:$J,10,FALSE)</f>
        <v>#N/A</v>
      </c>
    </row>
    <row r="161" spans="1:12" ht="12.75" customHeight="1" hidden="1">
      <c r="A161" s="487"/>
      <c r="B161" s="56"/>
      <c r="C161" s="79" t="e">
        <f>VLOOKUP($B161,'Іменні заявки'!$A:$J,2,FALSE)</f>
        <v>#N/A</v>
      </c>
      <c r="D161" s="80" t="e">
        <f>VLOOKUP($B161,'Іменні заявки'!$A:$J,3,FALSE)</f>
        <v>#N/A</v>
      </c>
      <c r="E161" s="81" t="e">
        <f>VLOOKUP($B161,'Іменні заявки'!$A:$J,4,FALSE)</f>
        <v>#N/A</v>
      </c>
      <c r="F161" s="508"/>
      <c r="G161" s="511"/>
      <c r="H161" s="514"/>
      <c r="I161" s="514"/>
      <c r="J161" s="514"/>
      <c r="K161" s="55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61" s="82" t="e">
        <f>VLOOKUP($B161,'Іменні заявки'!$A:$J,10,FALSE)</f>
        <v>#N/A</v>
      </c>
    </row>
    <row r="162" spans="1:12" ht="12.75" customHeight="1" hidden="1">
      <c r="A162" s="487"/>
      <c r="B162" s="56"/>
      <c r="C162" s="79" t="e">
        <f>VLOOKUP($B162,'Іменні заявки'!$A:$J,2,FALSE)</f>
        <v>#N/A</v>
      </c>
      <c r="D162" s="80" t="e">
        <f>VLOOKUP($B162,'Іменні заявки'!$A:$J,3,FALSE)</f>
        <v>#N/A</v>
      </c>
      <c r="E162" s="81" t="e">
        <f>VLOOKUP($B162,'Іменні заявки'!$A:$J,4,FALSE)</f>
        <v>#N/A</v>
      </c>
      <c r="F162" s="508"/>
      <c r="G162" s="511"/>
      <c r="H162" s="514"/>
      <c r="I162" s="514"/>
      <c r="J162" s="514"/>
      <c r="K162" s="55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62" s="82" t="e">
        <f>VLOOKUP($B162,'Іменні заявки'!$A:$J,10,FALSE)</f>
        <v>#N/A</v>
      </c>
    </row>
    <row r="163" spans="1:12" ht="12.75" customHeight="1" hidden="1" thickBot="1">
      <c r="A163" s="506"/>
      <c r="B163" s="83"/>
      <c r="C163" s="84" t="e">
        <f>VLOOKUP($B163,'Іменні заявки'!$A:$J,2,FALSE)</f>
        <v>#N/A</v>
      </c>
      <c r="D163" s="85" t="e">
        <f>VLOOKUP($B163,'Іменні заявки'!$A:$J,3,FALSE)</f>
        <v>#N/A</v>
      </c>
      <c r="E163" s="86" t="e">
        <f>VLOOKUP($B163,'Іменні заявки'!$A:$J,4,FALSE)</f>
        <v>#N/A</v>
      </c>
      <c r="F163" s="509"/>
      <c r="G163" s="512"/>
      <c r="H163" s="515"/>
      <c r="I163" s="515"/>
      <c r="J163" s="515"/>
      <c r="K163" s="87" t="str">
        <f>IF(AND(OR($S$11="V",$S$11="IV"),$S$12&gt;=200,$S$14&lt;&gt;"—",G158&lt;=$S$14),"КМСУ",IF(AND($S$15&lt;&gt;"—",G158&lt;=$S$15),"І с.р.",IF(AND($S$16&lt;&gt;"—",G158&lt;=$S$16),"ІІ с.р.",IF(AND($S$17&lt;&gt;"—",G158&lt;=$S$17),"ІІІ с.р.","—"))))</f>
        <v>—</v>
      </c>
      <c r="L163" s="88" t="e">
        <f>VLOOKUP($B163,'Іменні заявки'!$A:$J,10,FALSE)</f>
        <v>#N/A</v>
      </c>
    </row>
    <row r="164" spans="1:12" ht="12.75" customHeight="1" hidden="1">
      <c r="A164" s="486">
        <v>26</v>
      </c>
      <c r="B164" s="54"/>
      <c r="C164" s="74" t="e">
        <f>VLOOKUP($B164,'Іменні заявки'!$A:$J,2,FALSE)</f>
        <v>#N/A</v>
      </c>
      <c r="D164" s="75" t="e">
        <f>VLOOKUP($B164,'Іменні заявки'!$A:$J,3,FALSE)</f>
        <v>#N/A</v>
      </c>
      <c r="E164" s="76" t="e">
        <f>VLOOKUP($B164,'Іменні заявки'!$A:$J,4,FALSE)</f>
        <v>#N/A</v>
      </c>
      <c r="F164" s="507" t="e">
        <f>VLOOKUP($B164-RIGHT($B164,1),'Проток.рез.КСП'!A:W,23,FALSE)</f>
        <v>#VALUE!</v>
      </c>
      <c r="G164" s="510" t="str">
        <f>IF(ISERROR($F164),"—",IF(OR(ISTEXT($F164),$F164=""),"—",IF(VLOOKUP($B164-RIGHT($B164,1),'Проток.рез.КСП'!A:Y,25,FALSE)&lt;&gt;"",VLOOKUP($B164-RIGHT($B164,1),'Проток.рез.КСП'!A:Y,25,FALSE),ROUND($F164/$F$14*100,2))))</f>
        <v>—</v>
      </c>
      <c r="H164" s="513" t="e">
        <f>VLOOKUP($B164,'Іменні заявки'!$A:$J,8,FALSE)</f>
        <v>#N/A</v>
      </c>
      <c r="I164" s="513" t="e">
        <f>VLOOKUP($B164,'Іменні заявки'!$A:$J,7,FALSE)</f>
        <v>#N/A</v>
      </c>
      <c r="J164" s="513" t="e">
        <f>VLOOKUP($B164,'Іменні заявки'!$A:$J,9,FALSE)</f>
        <v>#N/A</v>
      </c>
      <c r="K164" s="53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4" s="77" t="e">
        <f>VLOOKUP($B164,'Іменні заявки'!$A:$J,10,FALSE)</f>
        <v>#N/A</v>
      </c>
    </row>
    <row r="165" spans="1:12" ht="12.75" customHeight="1" hidden="1">
      <c r="A165" s="487"/>
      <c r="B165" s="56"/>
      <c r="C165" s="79" t="e">
        <f>VLOOKUP($B165,'Іменні заявки'!$A:$J,2,FALSE)</f>
        <v>#N/A</v>
      </c>
      <c r="D165" s="80" t="e">
        <f>VLOOKUP($B165,'Іменні заявки'!$A:$J,3,FALSE)</f>
        <v>#N/A</v>
      </c>
      <c r="E165" s="81" t="e">
        <f>VLOOKUP($B165,'Іменні заявки'!$A:$J,4,FALSE)</f>
        <v>#N/A</v>
      </c>
      <c r="F165" s="508"/>
      <c r="G165" s="511"/>
      <c r="H165" s="514"/>
      <c r="I165" s="514"/>
      <c r="J165" s="514"/>
      <c r="K165" s="55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5" s="82" t="e">
        <f>VLOOKUP($B165,'Іменні заявки'!$A:$J,10,FALSE)</f>
        <v>#N/A</v>
      </c>
    </row>
    <row r="166" spans="1:12" ht="12.75" customHeight="1" hidden="1">
      <c r="A166" s="487"/>
      <c r="B166" s="56"/>
      <c r="C166" s="79" t="e">
        <f>VLOOKUP($B166,'Іменні заявки'!$A:$J,2,FALSE)</f>
        <v>#N/A</v>
      </c>
      <c r="D166" s="80" t="e">
        <f>VLOOKUP($B166,'Іменні заявки'!$A:$J,3,FALSE)</f>
        <v>#N/A</v>
      </c>
      <c r="E166" s="81" t="e">
        <f>VLOOKUP($B166,'Іменні заявки'!$A:$J,4,FALSE)</f>
        <v>#N/A</v>
      </c>
      <c r="F166" s="508"/>
      <c r="G166" s="511"/>
      <c r="H166" s="514"/>
      <c r="I166" s="514"/>
      <c r="J166" s="514"/>
      <c r="K166" s="55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6" s="82" t="e">
        <f>VLOOKUP($B166,'Іменні заявки'!$A:$J,10,FALSE)</f>
        <v>#N/A</v>
      </c>
    </row>
    <row r="167" spans="1:12" ht="12.75" customHeight="1" hidden="1">
      <c r="A167" s="487"/>
      <c r="B167" s="56"/>
      <c r="C167" s="79" t="e">
        <f>VLOOKUP($B167,'Іменні заявки'!$A:$J,2,FALSE)</f>
        <v>#N/A</v>
      </c>
      <c r="D167" s="80" t="e">
        <f>VLOOKUP($B167,'Іменні заявки'!$A:$J,3,FALSE)</f>
        <v>#N/A</v>
      </c>
      <c r="E167" s="81" t="e">
        <f>VLOOKUP($B167,'Іменні заявки'!$A:$J,4,FALSE)</f>
        <v>#N/A</v>
      </c>
      <c r="F167" s="508"/>
      <c r="G167" s="511"/>
      <c r="H167" s="514"/>
      <c r="I167" s="514"/>
      <c r="J167" s="514"/>
      <c r="K167" s="55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7" s="82" t="e">
        <f>VLOOKUP($B167,'Іменні заявки'!$A:$J,10,FALSE)</f>
        <v>#N/A</v>
      </c>
    </row>
    <row r="168" spans="1:12" ht="12.75" customHeight="1" hidden="1">
      <c r="A168" s="487"/>
      <c r="B168" s="56"/>
      <c r="C168" s="79" t="e">
        <f>VLOOKUP($B168,'Іменні заявки'!$A:$J,2,FALSE)</f>
        <v>#N/A</v>
      </c>
      <c r="D168" s="80" t="e">
        <f>VLOOKUP($B168,'Іменні заявки'!$A:$J,3,FALSE)</f>
        <v>#N/A</v>
      </c>
      <c r="E168" s="81" t="e">
        <f>VLOOKUP($B168,'Іменні заявки'!$A:$J,4,FALSE)</f>
        <v>#N/A</v>
      </c>
      <c r="F168" s="508"/>
      <c r="G168" s="511"/>
      <c r="H168" s="514"/>
      <c r="I168" s="514"/>
      <c r="J168" s="514"/>
      <c r="K168" s="55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8" s="82" t="e">
        <f>VLOOKUP($B168,'Іменні заявки'!$A:$J,10,FALSE)</f>
        <v>#N/A</v>
      </c>
    </row>
    <row r="169" spans="1:12" ht="12.75" customHeight="1" hidden="1" thickBot="1">
      <c r="A169" s="506"/>
      <c r="B169" s="83"/>
      <c r="C169" s="84" t="e">
        <f>VLOOKUP($B169,'Іменні заявки'!$A:$J,2,FALSE)</f>
        <v>#N/A</v>
      </c>
      <c r="D169" s="85" t="e">
        <f>VLOOKUP($B169,'Іменні заявки'!$A:$J,3,FALSE)</f>
        <v>#N/A</v>
      </c>
      <c r="E169" s="86" t="e">
        <f>VLOOKUP($B169,'Іменні заявки'!$A:$J,4,FALSE)</f>
        <v>#N/A</v>
      </c>
      <c r="F169" s="509"/>
      <c r="G169" s="512"/>
      <c r="H169" s="515"/>
      <c r="I169" s="515"/>
      <c r="J169" s="515"/>
      <c r="K169" s="87" t="str">
        <f>IF(AND(OR($S$11="V",$S$11="IV"),$S$12&gt;=200,$S$14&lt;&gt;"—",G164&lt;=$S$14),"КМСУ",IF(AND($S$15&lt;&gt;"—",G164&lt;=$S$15),"І с.р.",IF(AND($S$16&lt;&gt;"—",G164&lt;=$S$16),"ІІ с.р.",IF(AND($S$17&lt;&gt;"—",G164&lt;=$S$17),"ІІІ с.р.","—"))))</f>
        <v>—</v>
      </c>
      <c r="L169" s="88" t="e">
        <f>VLOOKUP($B169,'Іменні заявки'!$A:$J,10,FALSE)</f>
        <v>#N/A</v>
      </c>
    </row>
    <row r="170" spans="1:12" ht="12.75" customHeight="1" hidden="1">
      <c r="A170" s="486">
        <v>27</v>
      </c>
      <c r="B170" s="54"/>
      <c r="C170" s="74" t="e">
        <f>VLOOKUP($B170,'Іменні заявки'!$A:$J,2,FALSE)</f>
        <v>#N/A</v>
      </c>
      <c r="D170" s="75" t="e">
        <f>VLOOKUP($B170,'Іменні заявки'!$A:$J,3,FALSE)</f>
        <v>#N/A</v>
      </c>
      <c r="E170" s="76" t="e">
        <f>VLOOKUP($B170,'Іменні заявки'!$A:$J,4,FALSE)</f>
        <v>#N/A</v>
      </c>
      <c r="F170" s="507" t="e">
        <f>VLOOKUP($B170-RIGHT($B170,1),'Проток.рез.КСП'!A:W,23,FALSE)</f>
        <v>#VALUE!</v>
      </c>
      <c r="G170" s="510" t="str">
        <f>IF(ISERROR($F170),"—",IF(OR(ISTEXT($F170),$F170=""),"—",IF(VLOOKUP($B170-RIGHT($B170,1),'Проток.рез.КСП'!A:Y,25,FALSE)&lt;&gt;"",VLOOKUP($B170-RIGHT($B170,1),'Проток.рез.КСП'!A:Y,25,FALSE),ROUND($F170/$F$14*100,2))))</f>
        <v>—</v>
      </c>
      <c r="H170" s="513" t="e">
        <f>VLOOKUP($B170,'Іменні заявки'!$A:$J,8,FALSE)</f>
        <v>#N/A</v>
      </c>
      <c r="I170" s="513" t="e">
        <f>VLOOKUP($B170,'Іменні заявки'!$A:$J,7,FALSE)</f>
        <v>#N/A</v>
      </c>
      <c r="J170" s="513" t="e">
        <f>VLOOKUP($B170,'Іменні заявки'!$A:$J,9,FALSE)</f>
        <v>#N/A</v>
      </c>
      <c r="K170" s="53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0" s="77" t="e">
        <f>VLOOKUP($B170,'Іменні заявки'!$A:$J,10,FALSE)</f>
        <v>#N/A</v>
      </c>
    </row>
    <row r="171" spans="1:12" ht="12.75" customHeight="1" hidden="1">
      <c r="A171" s="487"/>
      <c r="B171" s="56"/>
      <c r="C171" s="79" t="e">
        <f>VLOOKUP($B171,'Іменні заявки'!$A:$J,2,FALSE)</f>
        <v>#N/A</v>
      </c>
      <c r="D171" s="80" t="e">
        <f>VLOOKUP($B171,'Іменні заявки'!$A:$J,3,FALSE)</f>
        <v>#N/A</v>
      </c>
      <c r="E171" s="81" t="e">
        <f>VLOOKUP($B171,'Іменні заявки'!$A:$J,4,FALSE)</f>
        <v>#N/A</v>
      </c>
      <c r="F171" s="508"/>
      <c r="G171" s="511"/>
      <c r="H171" s="514"/>
      <c r="I171" s="514"/>
      <c r="J171" s="514"/>
      <c r="K171" s="55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1" s="82" t="e">
        <f>VLOOKUP($B171,'Іменні заявки'!$A:$J,10,FALSE)</f>
        <v>#N/A</v>
      </c>
    </row>
    <row r="172" spans="1:12" ht="12.75" customHeight="1" hidden="1">
      <c r="A172" s="487"/>
      <c r="B172" s="56"/>
      <c r="C172" s="79" t="e">
        <f>VLOOKUP($B172,'Іменні заявки'!$A:$J,2,FALSE)</f>
        <v>#N/A</v>
      </c>
      <c r="D172" s="80" t="e">
        <f>VLOOKUP($B172,'Іменні заявки'!$A:$J,3,FALSE)</f>
        <v>#N/A</v>
      </c>
      <c r="E172" s="81" t="e">
        <f>VLOOKUP($B172,'Іменні заявки'!$A:$J,4,FALSE)</f>
        <v>#N/A</v>
      </c>
      <c r="F172" s="508"/>
      <c r="G172" s="511"/>
      <c r="H172" s="514"/>
      <c r="I172" s="514"/>
      <c r="J172" s="514"/>
      <c r="K172" s="55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2" s="82" t="e">
        <f>VLOOKUP($B172,'Іменні заявки'!$A:$J,10,FALSE)</f>
        <v>#N/A</v>
      </c>
    </row>
    <row r="173" spans="1:12" ht="12.75" customHeight="1" hidden="1">
      <c r="A173" s="487"/>
      <c r="B173" s="56"/>
      <c r="C173" s="79" t="e">
        <f>VLOOKUP($B173,'Іменні заявки'!$A:$J,2,FALSE)</f>
        <v>#N/A</v>
      </c>
      <c r="D173" s="80" t="e">
        <f>VLOOKUP($B173,'Іменні заявки'!$A:$J,3,FALSE)</f>
        <v>#N/A</v>
      </c>
      <c r="E173" s="81" t="e">
        <f>VLOOKUP($B173,'Іменні заявки'!$A:$J,4,FALSE)</f>
        <v>#N/A</v>
      </c>
      <c r="F173" s="508"/>
      <c r="G173" s="511"/>
      <c r="H173" s="514"/>
      <c r="I173" s="514"/>
      <c r="J173" s="514"/>
      <c r="K173" s="55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3" s="82" t="e">
        <f>VLOOKUP($B173,'Іменні заявки'!$A:$J,10,FALSE)</f>
        <v>#N/A</v>
      </c>
    </row>
    <row r="174" spans="1:12" ht="12.75" customHeight="1" hidden="1">
      <c r="A174" s="487"/>
      <c r="B174" s="56"/>
      <c r="C174" s="79" t="e">
        <f>VLOOKUP($B174,'Іменні заявки'!$A:$J,2,FALSE)</f>
        <v>#N/A</v>
      </c>
      <c r="D174" s="80" t="e">
        <f>VLOOKUP($B174,'Іменні заявки'!$A:$J,3,FALSE)</f>
        <v>#N/A</v>
      </c>
      <c r="E174" s="81" t="e">
        <f>VLOOKUP($B174,'Іменні заявки'!$A:$J,4,FALSE)</f>
        <v>#N/A</v>
      </c>
      <c r="F174" s="508"/>
      <c r="G174" s="511"/>
      <c r="H174" s="514"/>
      <c r="I174" s="514"/>
      <c r="J174" s="514"/>
      <c r="K174" s="55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4" s="82" t="e">
        <f>VLOOKUP($B174,'Іменні заявки'!$A:$J,10,FALSE)</f>
        <v>#N/A</v>
      </c>
    </row>
    <row r="175" spans="1:12" ht="12.75" customHeight="1" hidden="1" thickBot="1">
      <c r="A175" s="506"/>
      <c r="B175" s="83"/>
      <c r="C175" s="84" t="e">
        <f>VLOOKUP($B175,'Іменні заявки'!$A:$J,2,FALSE)</f>
        <v>#N/A</v>
      </c>
      <c r="D175" s="85" t="e">
        <f>VLOOKUP($B175,'Іменні заявки'!$A:$J,3,FALSE)</f>
        <v>#N/A</v>
      </c>
      <c r="E175" s="86" t="e">
        <f>VLOOKUP($B175,'Іменні заявки'!$A:$J,4,FALSE)</f>
        <v>#N/A</v>
      </c>
      <c r="F175" s="509"/>
      <c r="G175" s="512"/>
      <c r="H175" s="515"/>
      <c r="I175" s="515"/>
      <c r="J175" s="515"/>
      <c r="K175" s="87" t="str">
        <f>IF(AND(OR($S$11="V",$S$11="IV"),$S$12&gt;=200,$S$14&lt;&gt;"—",G170&lt;=$S$14),"КМСУ",IF(AND($S$15&lt;&gt;"—",G170&lt;=$S$15),"І с.р.",IF(AND($S$16&lt;&gt;"—",G170&lt;=$S$16),"ІІ с.р.",IF(AND($S$17&lt;&gt;"—",G170&lt;=$S$17),"ІІІ с.р.","—"))))</f>
        <v>—</v>
      </c>
      <c r="L175" s="88" t="e">
        <f>VLOOKUP($B175,'Іменні заявки'!$A:$J,10,FALSE)</f>
        <v>#N/A</v>
      </c>
    </row>
    <row r="176" spans="4:15" ht="12.75">
      <c r="D176"/>
      <c r="E176"/>
      <c r="F176"/>
      <c r="G176"/>
      <c r="O176"/>
    </row>
    <row r="177" spans="1:15" ht="12.75" hidden="1">
      <c r="A177" s="160"/>
      <c r="B177" s="160"/>
      <c r="C177" s="160"/>
      <c r="D177" s="160"/>
      <c r="E177" s="161" t="s">
        <v>168</v>
      </c>
      <c r="F177" s="162"/>
      <c r="G177" s="163" t="s">
        <v>148</v>
      </c>
      <c r="H177" s="164" t="str">
        <f aca="true" t="shared" si="1" ref="H177:H182">IF(S14="—","—",ROUND(S14,2)&amp;" %")</f>
        <v>—</v>
      </c>
      <c r="I177" s="160"/>
      <c r="J177" s="160"/>
      <c r="K177" s="160"/>
      <c r="L177" s="160"/>
      <c r="O177"/>
    </row>
    <row r="178" spans="4:15" ht="12.75">
      <c r="D178"/>
      <c r="E178" s="141" t="s">
        <v>168</v>
      </c>
      <c r="F178" s="142"/>
      <c r="G178" s="143" t="s">
        <v>149</v>
      </c>
      <c r="H178" s="144" t="str">
        <f t="shared" si="1"/>
        <v>124,1 %</v>
      </c>
      <c r="O178"/>
    </row>
    <row r="179" spans="4:15" ht="12.75">
      <c r="D179"/>
      <c r="E179" s="145"/>
      <c r="F179" s="142"/>
      <c r="G179" s="143" t="s">
        <v>150</v>
      </c>
      <c r="H179" s="144" t="str">
        <f t="shared" si="1"/>
        <v>143,47 %</v>
      </c>
      <c r="O179"/>
    </row>
    <row r="180" spans="4:15" ht="12.75">
      <c r="D180"/>
      <c r="E180" s="145"/>
      <c r="F180" s="142"/>
      <c r="G180" s="143" t="s">
        <v>151</v>
      </c>
      <c r="H180" s="144" t="str">
        <f t="shared" si="1"/>
        <v>183,47 %</v>
      </c>
      <c r="O180"/>
    </row>
    <row r="181" spans="1:15" ht="12.75" hidden="1">
      <c r="A181" s="160"/>
      <c r="B181" s="160"/>
      <c r="C181" s="160"/>
      <c r="D181" s="160"/>
      <c r="E181" s="165"/>
      <c r="F181" s="162"/>
      <c r="G181" s="163" t="s">
        <v>152</v>
      </c>
      <c r="H181" s="164" t="str">
        <f t="shared" si="1"/>
        <v>183,47 %</v>
      </c>
      <c r="I181" s="160"/>
      <c r="J181" s="160"/>
      <c r="K181" s="160"/>
      <c r="L181" s="160"/>
      <c r="O181"/>
    </row>
    <row r="182" spans="1:15" ht="12.75" hidden="1">
      <c r="A182" s="160"/>
      <c r="B182" s="160"/>
      <c r="C182" s="160"/>
      <c r="D182" s="160"/>
      <c r="E182" s="165"/>
      <c r="F182" s="162"/>
      <c r="G182" s="163" t="s">
        <v>153</v>
      </c>
      <c r="H182" s="164" t="str">
        <f t="shared" si="1"/>
        <v>—</v>
      </c>
      <c r="I182" s="160"/>
      <c r="J182" s="160"/>
      <c r="K182" s="160"/>
      <c r="L182" s="160"/>
      <c r="O182"/>
    </row>
    <row r="183" spans="4:15" ht="12.75">
      <c r="D183"/>
      <c r="E183"/>
      <c r="F183"/>
      <c r="G183"/>
      <c r="O183"/>
    </row>
    <row r="184" spans="3:15" ht="12.75">
      <c r="C184" t="str">
        <f>"Головний суддя _________________ "&amp;'Іменні заявки'!$C$6</f>
        <v>Головний суддя _________________ Гринчук В.В.</v>
      </c>
      <c r="D184"/>
      <c r="E184"/>
      <c r="F184"/>
      <c r="G184"/>
      <c r="H184" t="str">
        <f>"Головний секретар _________________ "&amp;'Іменні заявки'!$C$7</f>
        <v>Головний секретар _________________ Кіретова І.О.</v>
      </c>
      <c r="O184"/>
    </row>
    <row r="185" spans="4:15" ht="12.75">
      <c r="D185" s="247" t="s">
        <v>345</v>
      </c>
      <c r="E185"/>
      <c r="F185"/>
      <c r="G185"/>
      <c r="K185" s="247" t="s">
        <v>346</v>
      </c>
      <c r="O185"/>
    </row>
    <row r="186" spans="4:15" ht="12.75">
      <c r="D186" s="247"/>
      <c r="E186"/>
      <c r="F186"/>
      <c r="G186"/>
      <c r="I186" s="247"/>
      <c r="O186"/>
    </row>
    <row r="187" spans="4:15" ht="12.75">
      <c r="D187"/>
      <c r="E187"/>
      <c r="F187" s="146" t="s">
        <v>207</v>
      </c>
      <c r="G187"/>
      <c r="H187" t="s">
        <v>154</v>
      </c>
      <c r="I187" t="s">
        <v>323</v>
      </c>
      <c r="O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15" ht="12.75">
      <c r="D197"/>
      <c r="E197"/>
      <c r="F197"/>
      <c r="G197"/>
      <c r="O197"/>
    </row>
    <row r="198" spans="4:15" ht="12.75">
      <c r="D198"/>
      <c r="E198"/>
      <c r="F198"/>
      <c r="G198"/>
      <c r="O198"/>
    </row>
    <row r="199" spans="4:15" ht="12.75">
      <c r="D199"/>
      <c r="E199"/>
      <c r="F199"/>
      <c r="G199"/>
      <c r="O199"/>
    </row>
    <row r="200" spans="4:15" ht="12.75">
      <c r="D200"/>
      <c r="E200"/>
      <c r="F200"/>
      <c r="G200"/>
      <c r="O200"/>
    </row>
    <row r="201" spans="4:15" ht="12.75">
      <c r="D201"/>
      <c r="E201"/>
      <c r="F201"/>
      <c r="G201"/>
      <c r="O201"/>
    </row>
    <row r="202" spans="4:15" ht="12.75">
      <c r="D202"/>
      <c r="E202"/>
      <c r="F202"/>
      <c r="G202"/>
      <c r="O202"/>
    </row>
    <row r="203" spans="4:15" ht="12.75">
      <c r="D203"/>
      <c r="E203"/>
      <c r="F203"/>
      <c r="G203"/>
      <c r="O203"/>
    </row>
    <row r="204" spans="4:15" ht="12.75">
      <c r="D204"/>
      <c r="E204"/>
      <c r="F204"/>
      <c r="G204"/>
      <c r="O204"/>
    </row>
    <row r="205" spans="4:15" ht="12.75">
      <c r="D205"/>
      <c r="E205"/>
      <c r="F205"/>
      <c r="G205"/>
      <c r="O205"/>
    </row>
    <row r="206" spans="4:15" ht="12.75">
      <c r="D206"/>
      <c r="E206"/>
      <c r="F206"/>
      <c r="G206"/>
      <c r="O206"/>
    </row>
    <row r="207" spans="4:15" ht="12.75">
      <c r="D207"/>
      <c r="E207"/>
      <c r="F207"/>
      <c r="G207"/>
      <c r="O207"/>
    </row>
    <row r="208" spans="4:15" ht="12.75">
      <c r="D208"/>
      <c r="E208"/>
      <c r="F208"/>
      <c r="G208"/>
      <c r="O208"/>
    </row>
    <row r="209" spans="4:15" ht="12.75">
      <c r="D209"/>
      <c r="E209"/>
      <c r="F209"/>
      <c r="G209"/>
      <c r="O209"/>
    </row>
    <row r="210" spans="4:15" ht="12.75">
      <c r="D210"/>
      <c r="E210"/>
      <c r="F210"/>
      <c r="G210"/>
      <c r="O210"/>
    </row>
    <row r="211" spans="4:15" ht="12.75">
      <c r="D211"/>
      <c r="E211"/>
      <c r="F211"/>
      <c r="G211"/>
      <c r="O211"/>
    </row>
    <row r="212" spans="4:15" ht="12.75">
      <c r="D212"/>
      <c r="E212"/>
      <c r="F212"/>
      <c r="G212"/>
      <c r="O212"/>
    </row>
    <row r="213" spans="4:15" ht="12.75">
      <c r="D213"/>
      <c r="E213"/>
      <c r="F213"/>
      <c r="G213"/>
      <c r="O213"/>
    </row>
    <row r="214" spans="4:15" ht="12.75">
      <c r="D214"/>
      <c r="E214"/>
      <c r="F214"/>
      <c r="G214"/>
      <c r="O214"/>
    </row>
    <row r="215" spans="4:15" ht="12.75">
      <c r="D215"/>
      <c r="E215"/>
      <c r="F215"/>
      <c r="G215"/>
      <c r="O215"/>
    </row>
    <row r="216" spans="4:15" ht="12.75">
      <c r="D216"/>
      <c r="E216"/>
      <c r="F216"/>
      <c r="G216"/>
      <c r="O216"/>
    </row>
    <row r="217" spans="4:15" ht="12.75">
      <c r="D217"/>
      <c r="E217"/>
      <c r="F217"/>
      <c r="G217"/>
      <c r="O217"/>
    </row>
    <row r="218" spans="4:15" ht="12.75">
      <c r="D218"/>
      <c r="E218"/>
      <c r="F218"/>
      <c r="G218"/>
      <c r="O218"/>
    </row>
    <row r="219" spans="4:15" ht="12.75">
      <c r="D219"/>
      <c r="E219"/>
      <c r="F219"/>
      <c r="G219"/>
      <c r="O219"/>
    </row>
    <row r="220" spans="4:15" ht="12.75">
      <c r="D220"/>
      <c r="E220"/>
      <c r="F220"/>
      <c r="G220"/>
      <c r="O220"/>
    </row>
    <row r="221" spans="4:15" ht="12.75">
      <c r="D221"/>
      <c r="E221"/>
      <c r="F221"/>
      <c r="G221"/>
      <c r="O221"/>
    </row>
    <row r="222" spans="4:15" ht="12.75">
      <c r="D222"/>
      <c r="E222"/>
      <c r="F222"/>
      <c r="G222"/>
      <c r="O222"/>
    </row>
    <row r="223" spans="4:15" ht="12.75">
      <c r="D223"/>
      <c r="E223"/>
      <c r="F223"/>
      <c r="G223"/>
      <c r="O223"/>
    </row>
    <row r="224" spans="4:15" ht="12.75">
      <c r="D224"/>
      <c r="E224"/>
      <c r="F224"/>
      <c r="G224"/>
      <c r="O224"/>
    </row>
    <row r="225" spans="4:15" ht="12.75">
      <c r="D225"/>
      <c r="E225"/>
      <c r="F225"/>
      <c r="G225"/>
      <c r="O225"/>
    </row>
    <row r="226" spans="4:15" ht="12.75">
      <c r="D226"/>
      <c r="E226"/>
      <c r="F226"/>
      <c r="G226"/>
      <c r="O226"/>
    </row>
    <row r="227" spans="4:15" ht="12.75">
      <c r="D227"/>
      <c r="E227"/>
      <c r="F227"/>
      <c r="G227"/>
      <c r="O227"/>
    </row>
    <row r="228" spans="4:15" ht="12.75">
      <c r="D228"/>
      <c r="E228"/>
      <c r="F228"/>
      <c r="G228"/>
      <c r="O228"/>
    </row>
    <row r="229" spans="4:15" ht="12.75">
      <c r="D229"/>
      <c r="E229"/>
      <c r="F229"/>
      <c r="G229"/>
      <c r="O229"/>
    </row>
    <row r="230" spans="4:15" ht="12.75">
      <c r="D230"/>
      <c r="E230"/>
      <c r="F230"/>
      <c r="G230"/>
      <c r="O230"/>
    </row>
    <row r="231" spans="4:15" ht="12.75">
      <c r="D231"/>
      <c r="E231"/>
      <c r="F231"/>
      <c r="G231"/>
      <c r="O231"/>
    </row>
    <row r="232" spans="4:15" ht="12.75">
      <c r="D232"/>
      <c r="E232"/>
      <c r="F232"/>
      <c r="G232"/>
      <c r="O232"/>
    </row>
    <row r="233" spans="4:15" ht="12.75">
      <c r="D233"/>
      <c r="E233"/>
      <c r="F233"/>
      <c r="G233"/>
      <c r="O233"/>
    </row>
    <row r="234" spans="4:15" ht="12.75">
      <c r="D234"/>
      <c r="E234"/>
      <c r="F234"/>
      <c r="G234"/>
      <c r="O234"/>
    </row>
    <row r="235" spans="4:15" ht="12.75">
      <c r="D235"/>
      <c r="E235"/>
      <c r="F235"/>
      <c r="G235"/>
      <c r="O235"/>
    </row>
    <row r="236" spans="4:15" ht="12.75">
      <c r="D236"/>
      <c r="E236"/>
      <c r="F236"/>
      <c r="G236"/>
      <c r="O236"/>
    </row>
    <row r="237" spans="4:15" ht="12.75">
      <c r="D237"/>
      <c r="E237"/>
      <c r="F237"/>
      <c r="G237"/>
      <c r="O237"/>
    </row>
    <row r="238" spans="4:15" ht="12.75">
      <c r="D238"/>
      <c r="E238"/>
      <c r="F238"/>
      <c r="G238"/>
      <c r="O238"/>
    </row>
    <row r="239" spans="4:15" ht="12.75">
      <c r="D239"/>
      <c r="E239"/>
      <c r="F239"/>
      <c r="G239"/>
      <c r="O239"/>
    </row>
    <row r="240" spans="4:15" ht="12.75">
      <c r="D240"/>
      <c r="E240"/>
      <c r="F240"/>
      <c r="G240"/>
      <c r="O240"/>
    </row>
    <row r="241" spans="4:15" ht="12.75">
      <c r="D241"/>
      <c r="E241"/>
      <c r="F241"/>
      <c r="G241"/>
      <c r="O241"/>
    </row>
    <row r="242" spans="4:15" ht="12.75">
      <c r="D242"/>
      <c r="E242"/>
      <c r="F242"/>
      <c r="G242"/>
      <c r="O242"/>
    </row>
    <row r="243" spans="4:15" ht="12.75">
      <c r="D243"/>
      <c r="E243"/>
      <c r="F243"/>
      <c r="G243"/>
      <c r="O243"/>
    </row>
    <row r="244" spans="4:15" ht="12.75">
      <c r="D244"/>
      <c r="E244"/>
      <c r="F244"/>
      <c r="G244"/>
      <c r="O244"/>
    </row>
    <row r="245" spans="4:15" ht="12.75">
      <c r="D245"/>
      <c r="E245"/>
      <c r="F245"/>
      <c r="G245"/>
      <c r="O245"/>
    </row>
    <row r="246" spans="4:15" ht="12.75">
      <c r="D246"/>
      <c r="E246"/>
      <c r="F246"/>
      <c r="G246"/>
      <c r="O246"/>
    </row>
    <row r="247" spans="4:15" ht="12.75">
      <c r="D247"/>
      <c r="E247"/>
      <c r="F247"/>
      <c r="G247"/>
      <c r="O247"/>
    </row>
    <row r="248" spans="4:15" ht="12.75">
      <c r="D248"/>
      <c r="E248"/>
      <c r="F248"/>
      <c r="G248"/>
      <c r="O248"/>
    </row>
    <row r="249" spans="4:15" ht="12.75">
      <c r="D249"/>
      <c r="E249"/>
      <c r="F249"/>
      <c r="G249"/>
      <c r="O249"/>
    </row>
    <row r="250" spans="4:15" ht="12.75">
      <c r="D250"/>
      <c r="E250"/>
      <c r="F250"/>
      <c r="G250"/>
      <c r="O250"/>
    </row>
    <row r="251" spans="4:15" ht="12.75">
      <c r="D251"/>
      <c r="E251"/>
      <c r="F251"/>
      <c r="G251"/>
      <c r="O251"/>
    </row>
    <row r="252" spans="4:15" ht="12.75">
      <c r="D252"/>
      <c r="E252"/>
      <c r="F252"/>
      <c r="G252"/>
      <c r="O252"/>
    </row>
    <row r="253" spans="4:15" ht="12.75">
      <c r="D253"/>
      <c r="E253"/>
      <c r="F253"/>
      <c r="G253"/>
      <c r="O253"/>
    </row>
    <row r="254" spans="4:15" ht="12.75">
      <c r="D254"/>
      <c r="E254"/>
      <c r="F254"/>
      <c r="G254"/>
      <c r="O254"/>
    </row>
    <row r="255" spans="4:15" ht="12.75">
      <c r="D255"/>
      <c r="E255"/>
      <c r="F255"/>
      <c r="G255"/>
      <c r="O255"/>
    </row>
    <row r="256" spans="4:15" ht="12.75">
      <c r="D256"/>
      <c r="E256"/>
      <c r="F256"/>
      <c r="G256"/>
      <c r="O256"/>
    </row>
    <row r="257" spans="4:15" ht="12.75">
      <c r="D257"/>
      <c r="E257"/>
      <c r="F257"/>
      <c r="G257"/>
      <c r="O257"/>
    </row>
    <row r="258" spans="4:15" ht="12.75">
      <c r="D258"/>
      <c r="E258"/>
      <c r="F258"/>
      <c r="G258"/>
      <c r="O258"/>
    </row>
    <row r="259" spans="4:15" ht="12.75">
      <c r="D259"/>
      <c r="E259"/>
      <c r="F259"/>
      <c r="G259"/>
      <c r="O259"/>
    </row>
    <row r="260" spans="4:15" ht="12.75">
      <c r="D260"/>
      <c r="E260"/>
      <c r="F260"/>
      <c r="G260"/>
      <c r="O260"/>
    </row>
    <row r="261" spans="4:15" ht="12.75">
      <c r="D261"/>
      <c r="E261"/>
      <c r="F261"/>
      <c r="G261"/>
      <c r="O261"/>
    </row>
    <row r="262" spans="4:15" ht="12.75">
      <c r="D262"/>
      <c r="E262"/>
      <c r="F262"/>
      <c r="G262"/>
      <c r="O262"/>
    </row>
    <row r="263" spans="4:15" ht="12.75">
      <c r="D263"/>
      <c r="E263"/>
      <c r="F263"/>
      <c r="G263"/>
      <c r="O263"/>
    </row>
    <row r="264" spans="4:15" ht="12.75">
      <c r="D264"/>
      <c r="E264"/>
      <c r="F264"/>
      <c r="G264"/>
      <c r="O264"/>
    </row>
    <row r="265" spans="4:15" ht="12.75">
      <c r="D265"/>
      <c r="E265"/>
      <c r="F265"/>
      <c r="G265"/>
      <c r="O265"/>
    </row>
    <row r="266" spans="4:15" ht="12.75">
      <c r="D266"/>
      <c r="E266"/>
      <c r="F266"/>
      <c r="G266"/>
      <c r="O266"/>
    </row>
    <row r="267" spans="4:15" ht="12.75">
      <c r="D267"/>
      <c r="E267"/>
      <c r="F267"/>
      <c r="G267"/>
      <c r="O267"/>
    </row>
    <row r="268" spans="4:15" ht="12.75">
      <c r="D268"/>
      <c r="E268"/>
      <c r="F268"/>
      <c r="G268"/>
      <c r="O268"/>
    </row>
    <row r="269" spans="4:15" ht="12.75">
      <c r="D269"/>
      <c r="E269"/>
      <c r="F269"/>
      <c r="G269"/>
      <c r="O269"/>
    </row>
    <row r="270" spans="4:15" ht="12.75">
      <c r="D270"/>
      <c r="E270"/>
      <c r="F270"/>
      <c r="G270"/>
      <c r="O270"/>
    </row>
    <row r="271" spans="4:15" ht="12.75">
      <c r="D271"/>
      <c r="E271"/>
      <c r="F271"/>
      <c r="G271"/>
      <c r="O271"/>
    </row>
    <row r="272" spans="4:15" ht="12.75">
      <c r="D272"/>
      <c r="E272"/>
      <c r="F272"/>
      <c r="G272"/>
      <c r="O272"/>
    </row>
    <row r="273" spans="4:15" ht="12.75">
      <c r="D273"/>
      <c r="E273"/>
      <c r="F273"/>
      <c r="G273"/>
      <c r="O273"/>
    </row>
    <row r="274" spans="4:15" ht="12.75">
      <c r="D274"/>
      <c r="E274"/>
      <c r="F274"/>
      <c r="G274"/>
      <c r="O274"/>
    </row>
    <row r="275" spans="4:15" ht="12.75">
      <c r="D275"/>
      <c r="E275"/>
      <c r="F275"/>
      <c r="G275"/>
      <c r="O275"/>
    </row>
    <row r="276" spans="4:15" ht="12.75">
      <c r="D276"/>
      <c r="E276"/>
      <c r="F276"/>
      <c r="G276"/>
      <c r="O276"/>
    </row>
    <row r="277" spans="4:15" ht="12.75">
      <c r="D277"/>
      <c r="E277"/>
      <c r="F277"/>
      <c r="G277"/>
      <c r="O277"/>
    </row>
    <row r="278" spans="4:15" ht="12.75">
      <c r="D278"/>
      <c r="E278"/>
      <c r="F278"/>
      <c r="G278"/>
      <c r="O278"/>
    </row>
    <row r="279" spans="4:15" ht="12.75">
      <c r="D279"/>
      <c r="E279"/>
      <c r="F279"/>
      <c r="G279"/>
      <c r="O279"/>
    </row>
    <row r="280" spans="4:15" ht="12.75">
      <c r="D280"/>
      <c r="E280"/>
      <c r="F280"/>
      <c r="G280"/>
      <c r="O280"/>
    </row>
    <row r="281" spans="4:15" ht="12.75">
      <c r="D281"/>
      <c r="E281"/>
      <c r="F281"/>
      <c r="G281"/>
      <c r="O281"/>
    </row>
    <row r="282" spans="4:15" ht="12.75">
      <c r="D282"/>
      <c r="E282"/>
      <c r="F282"/>
      <c r="G282"/>
      <c r="O282"/>
    </row>
    <row r="283" spans="4:15" ht="12.75">
      <c r="D283"/>
      <c r="E283"/>
      <c r="F283"/>
      <c r="G283"/>
      <c r="O283"/>
    </row>
    <row r="284" spans="4:15" ht="12.75">
      <c r="D284"/>
      <c r="E284"/>
      <c r="F284"/>
      <c r="G284"/>
      <c r="O284"/>
    </row>
    <row r="285" spans="4:15" ht="12.75">
      <c r="D285"/>
      <c r="E285"/>
      <c r="F285"/>
      <c r="G285"/>
      <c r="O285"/>
    </row>
    <row r="286" spans="4:15" ht="12.75">
      <c r="D286"/>
      <c r="E286"/>
      <c r="F286"/>
      <c r="G286"/>
      <c r="O286"/>
    </row>
    <row r="287" spans="4:15" ht="12.75">
      <c r="D287"/>
      <c r="E287"/>
      <c r="F287"/>
      <c r="G287"/>
      <c r="O287"/>
    </row>
    <row r="288" spans="4:15" ht="12.75">
      <c r="D288"/>
      <c r="E288"/>
      <c r="F288"/>
      <c r="G288"/>
      <c r="O288"/>
    </row>
    <row r="289" spans="4:15" ht="12.75">
      <c r="D289"/>
      <c r="E289"/>
      <c r="F289"/>
      <c r="G289"/>
      <c r="O289"/>
    </row>
    <row r="290" spans="4:15" ht="12.75">
      <c r="D290"/>
      <c r="E290"/>
      <c r="F290"/>
      <c r="G290"/>
      <c r="O290"/>
    </row>
    <row r="291" spans="4:15" ht="12.75">
      <c r="D291"/>
      <c r="E291"/>
      <c r="F291"/>
      <c r="G291"/>
      <c r="O291"/>
    </row>
    <row r="292" spans="4:15" ht="12.75">
      <c r="D292"/>
      <c r="E292"/>
      <c r="F292"/>
      <c r="G292"/>
      <c r="O292"/>
    </row>
    <row r="293" spans="4:15" ht="12.75">
      <c r="D293"/>
      <c r="E293"/>
      <c r="F293"/>
      <c r="G293"/>
      <c r="O293"/>
    </row>
    <row r="294" spans="4:15" ht="12.75">
      <c r="D294"/>
      <c r="E294"/>
      <c r="F294"/>
      <c r="G294"/>
      <c r="O294"/>
    </row>
    <row r="295" spans="4:15" ht="12.75">
      <c r="D295"/>
      <c r="E295"/>
      <c r="F295"/>
      <c r="G295"/>
      <c r="O295"/>
    </row>
    <row r="296" spans="4:15" ht="12.75">
      <c r="D296"/>
      <c r="E296"/>
      <c r="F296"/>
      <c r="G296"/>
      <c r="O296"/>
    </row>
    <row r="297" spans="4:15" ht="12.75">
      <c r="D297"/>
      <c r="E297"/>
      <c r="F297"/>
      <c r="G297"/>
      <c r="O297"/>
    </row>
    <row r="298" spans="4:15" ht="12.75">
      <c r="D298"/>
      <c r="E298"/>
      <c r="F298"/>
      <c r="G298"/>
      <c r="O298"/>
    </row>
    <row r="299" spans="4:15" ht="12.75">
      <c r="D299"/>
      <c r="E299"/>
      <c r="F299"/>
      <c r="G299"/>
      <c r="O299"/>
    </row>
    <row r="300" spans="4:15" ht="12.75">
      <c r="D300"/>
      <c r="E300"/>
      <c r="F300"/>
      <c r="G300"/>
      <c r="O300"/>
    </row>
    <row r="301" spans="4:15" ht="12.75">
      <c r="D301"/>
      <c r="E301"/>
      <c r="F301"/>
      <c r="G301"/>
      <c r="O301"/>
    </row>
    <row r="302" spans="4:15" ht="12.75">
      <c r="D302"/>
      <c r="E302"/>
      <c r="F302"/>
      <c r="G302"/>
      <c r="O302"/>
    </row>
    <row r="303" spans="4:15" ht="12.75">
      <c r="D303"/>
      <c r="E303"/>
      <c r="F303"/>
      <c r="G303"/>
      <c r="O303"/>
    </row>
    <row r="304" spans="4:15" ht="12.75">
      <c r="D304"/>
      <c r="E304"/>
      <c r="F304"/>
      <c r="G304"/>
      <c r="O304"/>
    </row>
    <row r="305" spans="4:15" ht="12.75">
      <c r="D305"/>
      <c r="E305"/>
      <c r="F305"/>
      <c r="G305"/>
      <c r="O305"/>
    </row>
    <row r="306" spans="4:15" ht="12.75">
      <c r="D306"/>
      <c r="E306"/>
      <c r="F306"/>
      <c r="G306"/>
      <c r="O306"/>
    </row>
    <row r="307" spans="4:15" ht="12.75">
      <c r="D307"/>
      <c r="E307"/>
      <c r="F307"/>
      <c r="G307"/>
      <c r="O307"/>
    </row>
    <row r="308" spans="4:15" ht="12.75">
      <c r="D308"/>
      <c r="E308"/>
      <c r="F308"/>
      <c r="G308"/>
      <c r="O308"/>
    </row>
    <row r="309" spans="4:15" ht="12.75">
      <c r="D309"/>
      <c r="E309"/>
      <c r="F309"/>
      <c r="G309"/>
      <c r="O309"/>
    </row>
    <row r="310" spans="4:15" ht="12.75">
      <c r="D310"/>
      <c r="E310"/>
      <c r="F310"/>
      <c r="G310"/>
      <c r="O310"/>
    </row>
    <row r="311" spans="4:15" ht="12.75">
      <c r="D311"/>
      <c r="E311"/>
      <c r="F311"/>
      <c r="G311"/>
      <c r="O311"/>
    </row>
    <row r="312" spans="4:15" ht="12.75">
      <c r="D312"/>
      <c r="E312"/>
      <c r="F312"/>
      <c r="G312"/>
      <c r="O312"/>
    </row>
    <row r="313" spans="4:15" ht="12.75">
      <c r="D313"/>
      <c r="E313"/>
      <c r="F313"/>
      <c r="G313"/>
      <c r="O313"/>
    </row>
    <row r="314" spans="4:15" ht="12.75">
      <c r="D314"/>
      <c r="E314"/>
      <c r="F314"/>
      <c r="G314"/>
      <c r="O314"/>
    </row>
    <row r="315" spans="4:15" ht="12.75">
      <c r="D315"/>
      <c r="E315"/>
      <c r="F315"/>
      <c r="G315"/>
      <c r="O315"/>
    </row>
    <row r="316" spans="4:15" ht="12.75">
      <c r="D316"/>
      <c r="E316"/>
      <c r="F316"/>
      <c r="G316"/>
      <c r="O316"/>
    </row>
    <row r="317" spans="4:15" ht="12.75">
      <c r="D317"/>
      <c r="E317"/>
      <c r="F317"/>
      <c r="G317"/>
      <c r="O317"/>
    </row>
    <row r="318" spans="4:15" ht="12.75">
      <c r="D318"/>
      <c r="E318"/>
      <c r="F318"/>
      <c r="G318"/>
      <c r="O318"/>
    </row>
    <row r="319" spans="4:15" ht="12.75">
      <c r="D319"/>
      <c r="E319"/>
      <c r="F319"/>
      <c r="G319"/>
      <c r="O319"/>
    </row>
    <row r="320" spans="4:15" ht="12.75">
      <c r="D320"/>
      <c r="E320"/>
      <c r="F320"/>
      <c r="G320"/>
      <c r="O320"/>
    </row>
    <row r="321" spans="4:15" ht="12.75">
      <c r="D321"/>
      <c r="E321"/>
      <c r="F321"/>
      <c r="G321"/>
      <c r="O321"/>
    </row>
    <row r="322" spans="4:15" ht="12.75">
      <c r="D322"/>
      <c r="E322"/>
      <c r="F322"/>
      <c r="G322"/>
      <c r="O322"/>
    </row>
    <row r="323" spans="4:15" ht="12.75">
      <c r="D323"/>
      <c r="E323"/>
      <c r="F323"/>
      <c r="G323"/>
      <c r="O323"/>
    </row>
    <row r="324" spans="4:15" ht="12.75">
      <c r="D324"/>
      <c r="E324"/>
      <c r="F324"/>
      <c r="G324"/>
      <c r="O324"/>
    </row>
    <row r="325" spans="4:15" ht="12.75">
      <c r="D325"/>
      <c r="E325"/>
      <c r="F325"/>
      <c r="G325"/>
      <c r="O325"/>
    </row>
    <row r="326" spans="4:15" ht="12.75">
      <c r="D326"/>
      <c r="E326"/>
      <c r="F326"/>
      <c r="G326"/>
      <c r="O326"/>
    </row>
    <row r="327" spans="4:15" ht="12.75">
      <c r="D327"/>
      <c r="E327"/>
      <c r="F327"/>
      <c r="G327"/>
      <c r="O327"/>
    </row>
    <row r="328" spans="4:15" ht="12.75">
      <c r="D328"/>
      <c r="E328"/>
      <c r="F328"/>
      <c r="G328"/>
      <c r="O328"/>
    </row>
    <row r="329" spans="4:15" ht="12.75">
      <c r="D329"/>
      <c r="E329"/>
      <c r="F329"/>
      <c r="G329"/>
      <c r="O329"/>
    </row>
    <row r="330" spans="4:15" ht="12.75">
      <c r="D330"/>
      <c r="E330"/>
      <c r="F330"/>
      <c r="G330"/>
      <c r="O330"/>
    </row>
    <row r="331" spans="4:15" ht="12.75">
      <c r="D331"/>
      <c r="E331"/>
      <c r="F331"/>
      <c r="G331"/>
      <c r="O331"/>
    </row>
    <row r="332" spans="4:15" ht="12.75">
      <c r="D332"/>
      <c r="E332"/>
      <c r="F332"/>
      <c r="G332"/>
      <c r="O332"/>
    </row>
    <row r="333" spans="4:15" ht="12.75">
      <c r="D333"/>
      <c r="E333"/>
      <c r="F333"/>
      <c r="G333"/>
      <c r="O333"/>
    </row>
    <row r="334" spans="4:15" ht="12.75">
      <c r="D334"/>
      <c r="E334"/>
      <c r="F334"/>
      <c r="G334"/>
      <c r="O334"/>
    </row>
    <row r="335" spans="4:15" ht="12.75">
      <c r="D335"/>
      <c r="E335"/>
      <c r="F335"/>
      <c r="G335"/>
      <c r="O335"/>
    </row>
    <row r="336" spans="4:15" ht="12.75">
      <c r="D336"/>
      <c r="E336"/>
      <c r="F336"/>
      <c r="G336"/>
      <c r="O336"/>
    </row>
    <row r="337" spans="4:15" ht="12.75">
      <c r="D337"/>
      <c r="E337"/>
      <c r="F337"/>
      <c r="G337"/>
      <c r="O337"/>
    </row>
    <row r="338" spans="4:15" ht="12.75">
      <c r="D338"/>
      <c r="E338"/>
      <c r="F338"/>
      <c r="G338"/>
      <c r="O338"/>
    </row>
    <row r="339" spans="4:15" ht="12.75">
      <c r="D339"/>
      <c r="E339"/>
      <c r="F339"/>
      <c r="G339"/>
      <c r="O339"/>
    </row>
    <row r="340" spans="4:15" ht="12.75">
      <c r="D340"/>
      <c r="E340"/>
      <c r="F340"/>
      <c r="G340"/>
      <c r="O340"/>
    </row>
    <row r="341" spans="4:15" ht="12.75">
      <c r="D341"/>
      <c r="E341"/>
      <c r="F341"/>
      <c r="G341"/>
      <c r="O341"/>
    </row>
    <row r="342" spans="4:15" ht="12.75">
      <c r="D342"/>
      <c r="E342"/>
      <c r="F342"/>
      <c r="G342"/>
      <c r="O342"/>
    </row>
    <row r="343" spans="4:15" ht="12.75">
      <c r="D343"/>
      <c r="E343"/>
      <c r="F343"/>
      <c r="G343"/>
      <c r="O343"/>
    </row>
    <row r="344" spans="4:15" ht="12.75">
      <c r="D344"/>
      <c r="E344"/>
      <c r="F344"/>
      <c r="G344"/>
      <c r="O344"/>
    </row>
    <row r="345" spans="4:15" ht="12.75">
      <c r="D345"/>
      <c r="E345"/>
      <c r="F345"/>
      <c r="G345"/>
      <c r="O345"/>
    </row>
    <row r="346" spans="4:15" ht="12.75">
      <c r="D346"/>
      <c r="E346"/>
      <c r="F346"/>
      <c r="G346"/>
      <c r="O346"/>
    </row>
    <row r="347" spans="4:15" ht="12.75">
      <c r="D347"/>
      <c r="E347"/>
      <c r="F347"/>
      <c r="G347"/>
      <c r="O347"/>
    </row>
    <row r="348" spans="4:15" ht="12.75">
      <c r="D348"/>
      <c r="E348"/>
      <c r="F348"/>
      <c r="G348"/>
      <c r="O348"/>
    </row>
    <row r="349" spans="4:15" ht="12.75">
      <c r="D349"/>
      <c r="E349"/>
      <c r="F349"/>
      <c r="G349"/>
      <c r="O349"/>
    </row>
    <row r="350" spans="4:15" ht="12.75">
      <c r="D350"/>
      <c r="E350"/>
      <c r="F350"/>
      <c r="G350"/>
      <c r="O350"/>
    </row>
    <row r="351" spans="4:15" ht="12.75">
      <c r="D351"/>
      <c r="E351"/>
      <c r="F351"/>
      <c r="G351"/>
      <c r="O351"/>
    </row>
    <row r="352" spans="4:15" ht="12.75">
      <c r="D352"/>
      <c r="E352"/>
      <c r="F352"/>
      <c r="G352"/>
      <c r="O352"/>
    </row>
    <row r="353" spans="4:15" ht="12.75">
      <c r="D353"/>
      <c r="E353"/>
      <c r="F353"/>
      <c r="G353"/>
      <c r="O353"/>
    </row>
    <row r="354" spans="4:15" ht="12.75">
      <c r="D354"/>
      <c r="E354"/>
      <c r="F354"/>
      <c r="G354"/>
      <c r="O354"/>
    </row>
    <row r="355" spans="4:15" ht="12.75">
      <c r="D355"/>
      <c r="E355"/>
      <c r="F355"/>
      <c r="G355"/>
      <c r="O355"/>
    </row>
    <row r="356" spans="4:15" ht="12.75">
      <c r="D356"/>
      <c r="E356"/>
      <c r="F356"/>
      <c r="G356"/>
      <c r="O356"/>
    </row>
    <row r="357" spans="4:15" ht="12.75">
      <c r="D357"/>
      <c r="E357"/>
      <c r="F357"/>
      <c r="G357"/>
      <c r="O357"/>
    </row>
    <row r="358" spans="4:15" ht="12.75">
      <c r="D358"/>
      <c r="E358"/>
      <c r="F358"/>
      <c r="G358"/>
      <c r="O358"/>
    </row>
    <row r="359" spans="4:15" ht="12.75">
      <c r="D359"/>
      <c r="E359"/>
      <c r="F359"/>
      <c r="G359"/>
      <c r="O359"/>
    </row>
    <row r="360" spans="4:15" ht="12.75">
      <c r="D360"/>
      <c r="E360"/>
      <c r="F360"/>
      <c r="G360"/>
      <c r="O360"/>
    </row>
    <row r="361" spans="4:15" ht="12.75">
      <c r="D361"/>
      <c r="E361"/>
      <c r="F361"/>
      <c r="G361"/>
      <c r="O361"/>
    </row>
    <row r="362" spans="4:15" ht="12.75">
      <c r="D362"/>
      <c r="E362"/>
      <c r="F362"/>
      <c r="G362"/>
      <c r="O362"/>
    </row>
    <row r="363" spans="4:15" ht="12.75">
      <c r="D363"/>
      <c r="E363"/>
      <c r="F363"/>
      <c r="G363"/>
      <c r="O363"/>
    </row>
    <row r="364" spans="4:15" ht="12.75">
      <c r="D364"/>
      <c r="E364"/>
      <c r="F364"/>
      <c r="G364"/>
      <c r="O364"/>
    </row>
    <row r="365" spans="4:15" ht="12.75">
      <c r="D365"/>
      <c r="E365"/>
      <c r="F365"/>
      <c r="G365"/>
      <c r="O365"/>
    </row>
    <row r="366" spans="4:15" ht="12.75">
      <c r="D366"/>
      <c r="E366"/>
      <c r="F366"/>
      <c r="G366"/>
      <c r="O366"/>
    </row>
    <row r="367" spans="4:15" ht="12.75">
      <c r="D367"/>
      <c r="E367"/>
      <c r="F367"/>
      <c r="G367"/>
      <c r="O367"/>
    </row>
    <row r="368" spans="4:15" ht="12.75">
      <c r="D368"/>
      <c r="E368"/>
      <c r="F368"/>
      <c r="G368"/>
      <c r="O368"/>
    </row>
    <row r="369" spans="4:15" ht="12.75">
      <c r="D369"/>
      <c r="E369"/>
      <c r="F369"/>
      <c r="G369"/>
      <c r="O369"/>
    </row>
    <row r="370" spans="4:15" ht="12.75">
      <c r="D370"/>
      <c r="E370"/>
      <c r="F370"/>
      <c r="G370"/>
      <c r="O370"/>
    </row>
    <row r="371" spans="4:15" ht="12.75">
      <c r="D371"/>
      <c r="E371"/>
      <c r="F371"/>
      <c r="G371"/>
      <c r="O371"/>
    </row>
    <row r="372" spans="4:15" ht="12.75">
      <c r="D372"/>
      <c r="E372"/>
      <c r="F372"/>
      <c r="G372"/>
      <c r="O372"/>
    </row>
    <row r="373" spans="4:15" ht="12.75">
      <c r="D373"/>
      <c r="E373"/>
      <c r="F373"/>
      <c r="G373"/>
      <c r="O373"/>
    </row>
    <row r="374" spans="4:15" ht="12.75">
      <c r="D374"/>
      <c r="E374"/>
      <c r="F374"/>
      <c r="G374"/>
      <c r="O374"/>
    </row>
    <row r="375" spans="4:15" ht="12.75">
      <c r="D375"/>
      <c r="E375"/>
      <c r="F375"/>
      <c r="G375"/>
      <c r="O375"/>
    </row>
    <row r="376" spans="4:15" ht="12.75">
      <c r="D376"/>
      <c r="E376"/>
      <c r="F376"/>
      <c r="G376"/>
      <c r="O376"/>
    </row>
    <row r="377" spans="4:15" ht="12.75">
      <c r="D377"/>
      <c r="E377"/>
      <c r="F377"/>
      <c r="G377"/>
      <c r="O377"/>
    </row>
    <row r="378" spans="4:15" ht="12.75">
      <c r="D378"/>
      <c r="E378"/>
      <c r="F378"/>
      <c r="G378"/>
      <c r="O378"/>
    </row>
    <row r="379" spans="4:15" ht="12.75">
      <c r="D379"/>
      <c r="E379"/>
      <c r="F379"/>
      <c r="G379"/>
      <c r="O379"/>
    </row>
    <row r="380" spans="4:15" ht="12.75">
      <c r="D380"/>
      <c r="E380"/>
      <c r="F380"/>
      <c r="G380"/>
      <c r="O380"/>
    </row>
    <row r="381" spans="4:15" ht="12.75">
      <c r="D381"/>
      <c r="E381"/>
      <c r="F381"/>
      <c r="G381"/>
      <c r="O381"/>
    </row>
    <row r="382" spans="4:15" ht="12.75">
      <c r="D382"/>
      <c r="E382"/>
      <c r="F382"/>
      <c r="G382"/>
      <c r="O382"/>
    </row>
    <row r="383" spans="4:15" ht="12.75">
      <c r="D383"/>
      <c r="E383"/>
      <c r="F383"/>
      <c r="G383"/>
      <c r="O383"/>
    </row>
    <row r="384" spans="4:15" ht="12.75">
      <c r="D384"/>
      <c r="E384"/>
      <c r="F384"/>
      <c r="G384"/>
      <c r="O384"/>
    </row>
    <row r="385" spans="4:15" ht="12.75">
      <c r="D385"/>
      <c r="E385"/>
      <c r="F385"/>
      <c r="G385"/>
      <c r="O385"/>
    </row>
    <row r="386" spans="4:15" ht="12.75">
      <c r="D386"/>
      <c r="E386"/>
      <c r="F386"/>
      <c r="G386"/>
      <c r="O386"/>
    </row>
    <row r="387" spans="4:15" ht="12.75">
      <c r="D387"/>
      <c r="E387"/>
      <c r="F387"/>
      <c r="G387"/>
      <c r="O387"/>
    </row>
    <row r="388" spans="4:15" ht="12.75">
      <c r="D388"/>
      <c r="E388"/>
      <c r="F388"/>
      <c r="G388"/>
      <c r="O388"/>
    </row>
    <row r="389" spans="4:15" ht="12.75">
      <c r="D389"/>
      <c r="E389"/>
      <c r="F389"/>
      <c r="G389"/>
      <c r="O389"/>
    </row>
    <row r="390" spans="4:15" ht="12.75">
      <c r="D390"/>
      <c r="E390"/>
      <c r="F390"/>
      <c r="G390"/>
      <c r="O390"/>
    </row>
    <row r="391" spans="4:15" ht="12.75">
      <c r="D391"/>
      <c r="E391"/>
      <c r="F391"/>
      <c r="G391"/>
      <c r="O391"/>
    </row>
    <row r="392" spans="4:15" ht="12.75">
      <c r="D392"/>
      <c r="E392"/>
      <c r="F392"/>
      <c r="G392"/>
      <c r="O392"/>
    </row>
    <row r="393" spans="4:15" ht="12.75">
      <c r="D393"/>
      <c r="E393"/>
      <c r="F393"/>
      <c r="G393"/>
      <c r="O393"/>
    </row>
    <row r="394" spans="4:15" ht="12.75">
      <c r="D394"/>
      <c r="E394"/>
      <c r="F394"/>
      <c r="G394"/>
      <c r="O394"/>
    </row>
    <row r="395" spans="4:15" ht="12.75">
      <c r="D395"/>
      <c r="E395"/>
      <c r="F395"/>
      <c r="G395"/>
      <c r="O395"/>
    </row>
    <row r="396" spans="4:15" ht="12.75">
      <c r="D396"/>
      <c r="E396"/>
      <c r="F396"/>
      <c r="G396"/>
      <c r="O396"/>
    </row>
    <row r="397" spans="4:15" ht="12.75">
      <c r="D397"/>
      <c r="E397"/>
      <c r="F397"/>
      <c r="G397"/>
      <c r="O397"/>
    </row>
    <row r="398" spans="4:15" ht="12.75">
      <c r="D398"/>
      <c r="E398"/>
      <c r="F398"/>
      <c r="G398"/>
      <c r="O398"/>
    </row>
    <row r="399" spans="4:15" ht="12.75">
      <c r="D399"/>
      <c r="E399"/>
      <c r="F399"/>
      <c r="G399"/>
      <c r="O399"/>
    </row>
    <row r="400" spans="4:15" ht="12.75">
      <c r="D400"/>
      <c r="E400"/>
      <c r="F400"/>
      <c r="G400"/>
      <c r="O400"/>
    </row>
    <row r="401" spans="4:15" ht="12.75">
      <c r="D401"/>
      <c r="E401"/>
      <c r="F401"/>
      <c r="G401"/>
      <c r="O401"/>
    </row>
    <row r="402" spans="4:15" ht="12.75">
      <c r="D402"/>
      <c r="E402"/>
      <c r="F402"/>
      <c r="G402"/>
      <c r="O402"/>
    </row>
    <row r="403" spans="4:15" ht="12.75">
      <c r="D403"/>
      <c r="E403"/>
      <c r="F403"/>
      <c r="G403"/>
      <c r="O403"/>
    </row>
    <row r="404" spans="4:15" ht="12.75">
      <c r="D404"/>
      <c r="E404"/>
      <c r="F404"/>
      <c r="G404"/>
      <c r="O404"/>
    </row>
    <row r="405" spans="4:15" ht="12.75">
      <c r="D405"/>
      <c r="E405"/>
      <c r="F405"/>
      <c r="G405"/>
      <c r="O405"/>
    </row>
    <row r="406" spans="4:15" ht="12.75">
      <c r="D406"/>
      <c r="E406"/>
      <c r="F406"/>
      <c r="G406"/>
      <c r="O406"/>
    </row>
    <row r="407" spans="4:15" ht="12.75">
      <c r="D407"/>
      <c r="E407"/>
      <c r="F407"/>
      <c r="G407"/>
      <c r="O407"/>
    </row>
    <row r="408" spans="4:15" ht="12.75">
      <c r="D408"/>
      <c r="E408"/>
      <c r="F408"/>
      <c r="G408"/>
      <c r="O408"/>
    </row>
    <row r="409" spans="4:15" ht="12.75">
      <c r="D409"/>
      <c r="E409"/>
      <c r="F409"/>
      <c r="G409"/>
      <c r="O409"/>
    </row>
    <row r="410" spans="4:15" ht="12.75">
      <c r="D410"/>
      <c r="E410"/>
      <c r="F410"/>
      <c r="G410"/>
      <c r="O410"/>
    </row>
    <row r="411" spans="4:15" ht="12.75">
      <c r="D411"/>
      <c r="E411"/>
      <c r="F411"/>
      <c r="G411"/>
      <c r="O411"/>
    </row>
    <row r="412" spans="4:15" ht="12.75">
      <c r="D412"/>
      <c r="E412"/>
      <c r="F412"/>
      <c r="G412"/>
      <c r="O412"/>
    </row>
    <row r="413" spans="4:15" ht="12.75">
      <c r="D413"/>
      <c r="E413"/>
      <c r="F413"/>
      <c r="G413"/>
      <c r="O413"/>
    </row>
    <row r="414" spans="4:15" ht="12.75">
      <c r="D414"/>
      <c r="E414"/>
      <c r="F414"/>
      <c r="G414"/>
      <c r="O414"/>
    </row>
    <row r="415" spans="4:15" ht="12.75">
      <c r="D415"/>
      <c r="E415"/>
      <c r="F415"/>
      <c r="G415"/>
      <c r="O415"/>
    </row>
    <row r="416" spans="4:15" ht="12.75">
      <c r="D416"/>
      <c r="E416"/>
      <c r="F416"/>
      <c r="G416"/>
      <c r="O416"/>
    </row>
    <row r="417" spans="4:15" ht="12.75">
      <c r="D417"/>
      <c r="E417"/>
      <c r="F417"/>
      <c r="G417"/>
      <c r="O417"/>
    </row>
    <row r="418" spans="4:15" ht="12.75">
      <c r="D418"/>
      <c r="E418"/>
      <c r="F418"/>
      <c r="G418"/>
      <c r="O418"/>
    </row>
    <row r="419" spans="4:15" ht="12.75">
      <c r="D419"/>
      <c r="E419"/>
      <c r="F419"/>
      <c r="G419"/>
      <c r="O419"/>
    </row>
    <row r="420" spans="4:15" ht="12.75">
      <c r="D420"/>
      <c r="E420"/>
      <c r="F420"/>
      <c r="G420"/>
      <c r="O420"/>
    </row>
    <row r="421" spans="4:15" ht="12.75">
      <c r="D421"/>
      <c r="E421"/>
      <c r="F421"/>
      <c r="G421"/>
      <c r="O421"/>
    </row>
    <row r="422" spans="4:15" ht="12.75">
      <c r="D422"/>
      <c r="E422"/>
      <c r="F422"/>
      <c r="G422"/>
      <c r="O422"/>
    </row>
    <row r="423" spans="4:15" ht="12.75">
      <c r="D423"/>
      <c r="E423"/>
      <c r="F423"/>
      <c r="G423"/>
      <c r="O423"/>
    </row>
    <row r="424" spans="4:15" ht="12.75">
      <c r="D424"/>
      <c r="E424"/>
      <c r="F424"/>
      <c r="G424"/>
      <c r="O424"/>
    </row>
    <row r="425" spans="4:15" ht="12.75">
      <c r="D425"/>
      <c r="E425"/>
      <c r="F425"/>
      <c r="G425"/>
      <c r="O425"/>
    </row>
    <row r="426" spans="4:15" ht="12.75">
      <c r="D426"/>
      <c r="E426"/>
      <c r="F426"/>
      <c r="G426"/>
      <c r="O426"/>
    </row>
    <row r="427" spans="4:15" ht="12.75">
      <c r="D427"/>
      <c r="E427"/>
      <c r="F427"/>
      <c r="G427"/>
      <c r="O427"/>
    </row>
    <row r="428" spans="4:15" ht="12.75">
      <c r="D428"/>
      <c r="E428"/>
      <c r="F428"/>
      <c r="G428"/>
      <c r="O428"/>
    </row>
    <row r="429" spans="4:15" ht="12.75">
      <c r="D429"/>
      <c r="E429"/>
      <c r="F429"/>
      <c r="G429"/>
      <c r="O429"/>
    </row>
    <row r="430" spans="4:15" ht="12.75">
      <c r="D430"/>
      <c r="E430"/>
      <c r="F430"/>
      <c r="G430"/>
      <c r="O430"/>
    </row>
    <row r="431" spans="4:15" ht="12.75">
      <c r="D431"/>
      <c r="E431"/>
      <c r="F431"/>
      <c r="G431"/>
      <c r="O431"/>
    </row>
    <row r="432" spans="4:15" ht="12.75">
      <c r="D432"/>
      <c r="E432"/>
      <c r="F432"/>
      <c r="G432"/>
      <c r="O432"/>
    </row>
    <row r="433" spans="4:15" ht="12.75">
      <c r="D433"/>
      <c r="E433"/>
      <c r="F433"/>
      <c r="G433"/>
      <c r="O433"/>
    </row>
    <row r="434" spans="4:15" ht="12.75">
      <c r="D434"/>
      <c r="E434"/>
      <c r="F434"/>
      <c r="G434"/>
      <c r="O434"/>
    </row>
    <row r="435" spans="4:15" ht="12.75">
      <c r="D435"/>
      <c r="E435"/>
      <c r="F435"/>
      <c r="G435"/>
      <c r="O435"/>
    </row>
    <row r="436" spans="4:15" ht="12.75">
      <c r="D436"/>
      <c r="E436"/>
      <c r="F436"/>
      <c r="G436"/>
      <c r="O436"/>
    </row>
    <row r="437" spans="4:15" ht="12.75">
      <c r="D437"/>
      <c r="E437"/>
      <c r="F437"/>
      <c r="G437"/>
      <c r="O437"/>
    </row>
    <row r="438" spans="4:15" ht="12.75">
      <c r="D438"/>
      <c r="E438"/>
      <c r="F438"/>
      <c r="G438"/>
      <c r="O438"/>
    </row>
    <row r="439" spans="4:15" ht="12.75">
      <c r="D439"/>
      <c r="E439"/>
      <c r="F439"/>
      <c r="G439"/>
      <c r="O439"/>
    </row>
    <row r="440" spans="4:15" ht="12.75">
      <c r="D440"/>
      <c r="E440"/>
      <c r="F440"/>
      <c r="G440"/>
      <c r="O440"/>
    </row>
    <row r="441" spans="4:15" ht="12.75">
      <c r="D441"/>
      <c r="E441"/>
      <c r="F441"/>
      <c r="G441"/>
      <c r="O441"/>
    </row>
    <row r="442" spans="4:15" ht="12.75">
      <c r="D442"/>
      <c r="E442"/>
      <c r="F442"/>
      <c r="G442"/>
      <c r="O442"/>
    </row>
    <row r="443" spans="4:15" ht="12.75">
      <c r="D443"/>
      <c r="E443"/>
      <c r="F443"/>
      <c r="G443"/>
      <c r="O443"/>
    </row>
    <row r="444" spans="4:15" ht="12.75">
      <c r="D444"/>
      <c r="E444"/>
      <c r="F444"/>
      <c r="G444"/>
      <c r="O444"/>
    </row>
    <row r="445" spans="4:15" ht="12.75">
      <c r="D445"/>
      <c r="E445"/>
      <c r="F445"/>
      <c r="G445"/>
      <c r="O445"/>
    </row>
    <row r="446" spans="4:15" ht="12.75">
      <c r="D446"/>
      <c r="E446"/>
      <c r="F446"/>
      <c r="G446"/>
      <c r="O446"/>
    </row>
    <row r="447" spans="4:15" ht="12.75">
      <c r="D447"/>
      <c r="E447"/>
      <c r="F447"/>
      <c r="G447"/>
      <c r="O447"/>
    </row>
    <row r="448" spans="4:15" ht="12.75">
      <c r="D448"/>
      <c r="E448"/>
      <c r="F448"/>
      <c r="G448"/>
      <c r="O448"/>
    </row>
    <row r="449" spans="4:15" ht="12.75">
      <c r="D449"/>
      <c r="E449"/>
      <c r="F449"/>
      <c r="G449"/>
      <c r="O449"/>
    </row>
    <row r="450" spans="4:15" ht="12.75">
      <c r="D450"/>
      <c r="E450"/>
      <c r="F450"/>
      <c r="G450"/>
      <c r="O450"/>
    </row>
    <row r="451" spans="4:15" ht="12.75">
      <c r="D451"/>
      <c r="E451"/>
      <c r="F451"/>
      <c r="G451"/>
      <c r="O451"/>
    </row>
    <row r="452" spans="4:15" ht="12.75">
      <c r="D452"/>
      <c r="E452"/>
      <c r="F452"/>
      <c r="G452"/>
      <c r="O452"/>
    </row>
    <row r="453" spans="4:15" ht="12.75">
      <c r="D453"/>
      <c r="E453"/>
      <c r="F453"/>
      <c r="G453"/>
      <c r="O453"/>
    </row>
    <row r="454" spans="4:15" ht="12.75">
      <c r="D454"/>
      <c r="E454"/>
      <c r="F454"/>
      <c r="G454"/>
      <c r="O454"/>
    </row>
    <row r="455" spans="4:15" ht="12.75">
      <c r="D455"/>
      <c r="E455"/>
      <c r="F455"/>
      <c r="G455"/>
      <c r="O455"/>
    </row>
    <row r="456" spans="4:15" ht="12.75">
      <c r="D456"/>
      <c r="E456"/>
      <c r="F456"/>
      <c r="G456"/>
      <c r="O456"/>
    </row>
    <row r="457" spans="4:15" ht="12.75">
      <c r="D457"/>
      <c r="E457"/>
      <c r="F457"/>
      <c r="G457"/>
      <c r="O457"/>
    </row>
    <row r="458" spans="4:15" ht="12.75">
      <c r="D458"/>
      <c r="E458"/>
      <c r="F458"/>
      <c r="G458"/>
      <c r="O458"/>
    </row>
    <row r="459" spans="4:15" ht="12.75">
      <c r="D459"/>
      <c r="E459"/>
      <c r="F459"/>
      <c r="G459"/>
      <c r="O459"/>
    </row>
    <row r="460" spans="4:15" ht="12.75">
      <c r="D460"/>
      <c r="E460"/>
      <c r="F460"/>
      <c r="G460"/>
      <c r="O460"/>
    </row>
    <row r="461" spans="4:15" ht="12.75">
      <c r="D461"/>
      <c r="E461"/>
      <c r="F461"/>
      <c r="G461"/>
      <c r="O461"/>
    </row>
    <row r="462" spans="4:15" ht="12.75">
      <c r="D462"/>
      <c r="E462"/>
      <c r="F462"/>
      <c r="G462"/>
      <c r="O462"/>
    </row>
    <row r="463" spans="4:15" ht="12.75">
      <c r="D463"/>
      <c r="E463"/>
      <c r="F463"/>
      <c r="G463"/>
      <c r="O463"/>
    </row>
    <row r="464" spans="4:15" ht="12.75">
      <c r="D464"/>
      <c r="E464"/>
      <c r="F464"/>
      <c r="G464"/>
      <c r="O464"/>
    </row>
    <row r="465" spans="4:15" ht="12.75">
      <c r="D465"/>
      <c r="E465"/>
      <c r="F465"/>
      <c r="G465"/>
      <c r="O465"/>
    </row>
    <row r="466" spans="4:15" ht="12.75">
      <c r="D466"/>
      <c r="E466"/>
      <c r="F466"/>
      <c r="G466"/>
      <c r="O466"/>
    </row>
    <row r="467" spans="4:15" ht="12.75">
      <c r="D467"/>
      <c r="E467"/>
      <c r="F467"/>
      <c r="G467"/>
      <c r="O467"/>
    </row>
    <row r="468" spans="4:15" ht="12.75">
      <c r="D468"/>
      <c r="E468"/>
      <c r="F468"/>
      <c r="G468"/>
      <c r="O468"/>
    </row>
    <row r="469" spans="4:15" ht="12.75">
      <c r="D469"/>
      <c r="E469"/>
      <c r="F469"/>
      <c r="G469"/>
      <c r="O469"/>
    </row>
    <row r="470" spans="4:15" ht="12.75">
      <c r="D470"/>
      <c r="E470"/>
      <c r="F470"/>
      <c r="G470"/>
      <c r="O470"/>
    </row>
    <row r="471" spans="4:15" ht="12.75">
      <c r="D471"/>
      <c r="E471"/>
      <c r="F471"/>
      <c r="G471"/>
      <c r="O471"/>
    </row>
    <row r="472" spans="4:15" ht="12.75">
      <c r="D472"/>
      <c r="E472"/>
      <c r="F472"/>
      <c r="G472"/>
      <c r="O472"/>
    </row>
    <row r="473" spans="4:15" ht="12.75">
      <c r="D473"/>
      <c r="E473"/>
      <c r="F473"/>
      <c r="G473"/>
      <c r="O473"/>
    </row>
    <row r="474" spans="4:15" ht="12.75">
      <c r="D474"/>
      <c r="E474"/>
      <c r="F474"/>
      <c r="G474"/>
      <c r="O474"/>
    </row>
    <row r="475" spans="4:15" ht="12.75">
      <c r="D475"/>
      <c r="E475"/>
      <c r="F475"/>
      <c r="G475"/>
      <c r="O475"/>
    </row>
    <row r="476" spans="4:15" ht="12.75">
      <c r="D476"/>
      <c r="E476"/>
      <c r="F476"/>
      <c r="G476"/>
      <c r="O476"/>
    </row>
    <row r="477" spans="4:15" ht="12.75">
      <c r="D477"/>
      <c r="E477"/>
      <c r="F477"/>
      <c r="G477"/>
      <c r="O477"/>
    </row>
    <row r="478" spans="4:15" ht="12.75">
      <c r="D478"/>
      <c r="E478"/>
      <c r="F478"/>
      <c r="G478"/>
      <c r="O478"/>
    </row>
    <row r="479" spans="4:15" ht="12.75">
      <c r="D479"/>
      <c r="E479"/>
      <c r="F479"/>
      <c r="G479"/>
      <c r="O479"/>
    </row>
    <row r="480" spans="4:15" ht="12.75">
      <c r="D480"/>
      <c r="E480"/>
      <c r="F480"/>
      <c r="G480"/>
      <c r="O480"/>
    </row>
    <row r="481" spans="4:15" ht="12.75">
      <c r="D481"/>
      <c r="E481"/>
      <c r="F481"/>
      <c r="G481"/>
      <c r="O481"/>
    </row>
    <row r="482" spans="4:15" ht="12.75">
      <c r="D482"/>
      <c r="E482"/>
      <c r="F482"/>
      <c r="G482"/>
      <c r="O482"/>
    </row>
    <row r="483" spans="4:15" ht="12.75">
      <c r="D483"/>
      <c r="E483"/>
      <c r="F483"/>
      <c r="G483"/>
      <c r="O483"/>
    </row>
    <row r="484" spans="4:15" ht="12.75">
      <c r="D484"/>
      <c r="E484"/>
      <c r="F484"/>
      <c r="G484"/>
      <c r="O484"/>
    </row>
    <row r="485" spans="4:15" ht="12.75">
      <c r="D485"/>
      <c r="E485"/>
      <c r="F485"/>
      <c r="G485"/>
      <c r="O485"/>
    </row>
    <row r="486" spans="4:15" ht="12.75">
      <c r="D486"/>
      <c r="E486"/>
      <c r="F486"/>
      <c r="G486"/>
      <c r="O486"/>
    </row>
    <row r="487" spans="4:15" ht="12.75">
      <c r="D487"/>
      <c r="E487"/>
      <c r="F487"/>
      <c r="G487"/>
      <c r="O487"/>
    </row>
    <row r="488" spans="4:15" ht="12.75">
      <c r="D488"/>
      <c r="E488"/>
      <c r="F488"/>
      <c r="G488"/>
      <c r="O488"/>
    </row>
    <row r="489" spans="4:15" ht="12.75">
      <c r="D489"/>
      <c r="E489"/>
      <c r="F489"/>
      <c r="G489"/>
      <c r="O489"/>
    </row>
    <row r="490" spans="4:15" ht="12.75">
      <c r="D490"/>
      <c r="E490"/>
      <c r="F490"/>
      <c r="G490"/>
      <c r="O490"/>
    </row>
    <row r="491" spans="4:15" ht="12.75">
      <c r="D491"/>
      <c r="E491"/>
      <c r="F491"/>
      <c r="G491"/>
      <c r="O491"/>
    </row>
    <row r="492" spans="4:15" ht="12.75">
      <c r="D492"/>
      <c r="E492"/>
      <c r="F492"/>
      <c r="G492"/>
      <c r="O492"/>
    </row>
    <row r="493" spans="4:15" ht="12.75">
      <c r="D493"/>
      <c r="E493"/>
      <c r="F493"/>
      <c r="G493"/>
      <c r="O493"/>
    </row>
    <row r="494" spans="4:15" ht="12.75">
      <c r="D494"/>
      <c r="E494"/>
      <c r="F494"/>
      <c r="G494"/>
      <c r="O494"/>
    </row>
    <row r="495" spans="4:15" ht="12.75">
      <c r="D495"/>
      <c r="E495"/>
      <c r="F495"/>
      <c r="G495"/>
      <c r="O495"/>
    </row>
    <row r="496" spans="4:15" ht="12.75">
      <c r="D496"/>
      <c r="E496"/>
      <c r="F496"/>
      <c r="G496"/>
      <c r="O496"/>
    </row>
    <row r="497" spans="4:15" ht="12.75">
      <c r="D497"/>
      <c r="E497"/>
      <c r="F497"/>
      <c r="G497"/>
      <c r="O497"/>
    </row>
    <row r="498" spans="4:15" ht="12.75">
      <c r="D498"/>
      <c r="E498"/>
      <c r="F498"/>
      <c r="G498"/>
      <c r="O498"/>
    </row>
    <row r="499" spans="4:15" ht="12.75">
      <c r="D499"/>
      <c r="E499"/>
      <c r="F499"/>
      <c r="G499"/>
      <c r="O499"/>
    </row>
    <row r="500" spans="4:15" ht="12.75">
      <c r="D500"/>
      <c r="E500"/>
      <c r="F500"/>
      <c r="G500"/>
      <c r="O500"/>
    </row>
    <row r="501" spans="4:15" ht="12.75">
      <c r="D501"/>
      <c r="E501"/>
      <c r="F501"/>
      <c r="G501"/>
      <c r="O501"/>
    </row>
    <row r="502" spans="4:15" ht="12.75">
      <c r="D502"/>
      <c r="E502"/>
      <c r="F502"/>
      <c r="G502"/>
      <c r="O502"/>
    </row>
    <row r="503" spans="4:15" ht="12.75">
      <c r="D503"/>
      <c r="E503"/>
      <c r="F503"/>
      <c r="G503"/>
      <c r="O503"/>
    </row>
    <row r="504" spans="4:15" ht="12.75">
      <c r="D504"/>
      <c r="E504"/>
      <c r="F504"/>
      <c r="G504"/>
      <c r="O504"/>
    </row>
    <row r="505" spans="4:15" ht="12.75">
      <c r="D505"/>
      <c r="E505"/>
      <c r="F505"/>
      <c r="G505"/>
      <c r="O505"/>
    </row>
    <row r="506" spans="4:15" ht="12.75">
      <c r="D506"/>
      <c r="E506"/>
      <c r="F506"/>
      <c r="G506"/>
      <c r="O506"/>
    </row>
    <row r="507" spans="4:15" ht="12.75">
      <c r="D507"/>
      <c r="E507"/>
      <c r="F507"/>
      <c r="G507"/>
      <c r="O507"/>
    </row>
    <row r="508" spans="4:15" ht="12.75">
      <c r="D508"/>
      <c r="E508"/>
      <c r="F508"/>
      <c r="G508"/>
      <c r="O508"/>
    </row>
    <row r="509" spans="4:15" ht="12.75">
      <c r="D509"/>
      <c r="E509"/>
      <c r="F509"/>
      <c r="G509"/>
      <c r="O509"/>
    </row>
    <row r="510" spans="4:15" ht="12.75">
      <c r="D510"/>
      <c r="E510"/>
      <c r="F510"/>
      <c r="G510"/>
      <c r="O510"/>
    </row>
    <row r="511" spans="4:15" ht="12.75">
      <c r="D511"/>
      <c r="E511"/>
      <c r="F511"/>
      <c r="G511"/>
      <c r="O511"/>
    </row>
    <row r="512" spans="4:15" ht="12.75">
      <c r="D512"/>
      <c r="E512"/>
      <c r="F512"/>
      <c r="G512"/>
      <c r="O512"/>
    </row>
    <row r="513" spans="4:15" ht="12.75">
      <c r="D513"/>
      <c r="E513"/>
      <c r="F513"/>
      <c r="G513"/>
      <c r="O513"/>
    </row>
    <row r="514" spans="4:15" ht="12.75">
      <c r="D514"/>
      <c r="E514"/>
      <c r="F514"/>
      <c r="G514"/>
      <c r="O514"/>
    </row>
    <row r="515" spans="4:15" ht="12.75">
      <c r="D515"/>
      <c r="E515"/>
      <c r="F515"/>
      <c r="G515"/>
      <c r="O515"/>
    </row>
    <row r="516" spans="4:15" ht="12.75">
      <c r="D516"/>
      <c r="E516"/>
      <c r="F516"/>
      <c r="G516"/>
      <c r="O516"/>
    </row>
    <row r="517" spans="4:15" ht="12.75">
      <c r="D517"/>
      <c r="E517"/>
      <c r="F517"/>
      <c r="G517"/>
      <c r="O517"/>
    </row>
    <row r="518" spans="4:15" ht="12.75">
      <c r="D518"/>
      <c r="E518"/>
      <c r="F518"/>
      <c r="G518"/>
      <c r="O518"/>
    </row>
    <row r="519" spans="4:15" ht="12.75">
      <c r="D519"/>
      <c r="E519"/>
      <c r="F519"/>
      <c r="G519"/>
      <c r="O519"/>
    </row>
    <row r="520" spans="4:15" ht="12.75">
      <c r="D520"/>
      <c r="E520"/>
      <c r="F520"/>
      <c r="G520"/>
      <c r="O520"/>
    </row>
    <row r="521" spans="4:15" ht="12.75">
      <c r="D521"/>
      <c r="E521"/>
      <c r="F521"/>
      <c r="G521"/>
      <c r="O521"/>
    </row>
    <row r="522" spans="4:15" ht="12.75">
      <c r="D522"/>
      <c r="E522"/>
      <c r="F522"/>
      <c r="G522"/>
      <c r="O522"/>
    </row>
    <row r="523" spans="4:15" ht="12.75">
      <c r="D523"/>
      <c r="E523"/>
      <c r="F523"/>
      <c r="G523"/>
      <c r="O523"/>
    </row>
    <row r="524" spans="4:15" ht="12.75">
      <c r="D524"/>
      <c r="E524"/>
      <c r="F524"/>
      <c r="G524"/>
      <c r="O524"/>
    </row>
    <row r="525" spans="4:15" ht="12.75">
      <c r="D525"/>
      <c r="E525"/>
      <c r="F525"/>
      <c r="G525"/>
      <c r="O525"/>
    </row>
    <row r="526" spans="4:15" ht="12.75">
      <c r="D526"/>
      <c r="E526"/>
      <c r="F526"/>
      <c r="G526"/>
      <c r="O526"/>
    </row>
    <row r="527" spans="4:15" ht="12.75">
      <c r="D527"/>
      <c r="E527"/>
      <c r="F527"/>
      <c r="G527"/>
      <c r="O527"/>
    </row>
    <row r="528" spans="4:15" ht="12.75">
      <c r="D528"/>
      <c r="E528"/>
      <c r="F528"/>
      <c r="G528"/>
      <c r="O528"/>
    </row>
    <row r="529" spans="4:15" ht="12.75">
      <c r="D529"/>
      <c r="E529"/>
      <c r="F529"/>
      <c r="G529"/>
      <c r="O529"/>
    </row>
    <row r="530" spans="4:15" ht="12.75">
      <c r="D530"/>
      <c r="E530"/>
      <c r="F530"/>
      <c r="G530"/>
      <c r="O530"/>
    </row>
    <row r="531" spans="4:15" ht="12.75">
      <c r="D531"/>
      <c r="E531"/>
      <c r="F531"/>
      <c r="G531"/>
      <c r="O531"/>
    </row>
    <row r="532" spans="4:15" ht="12.75">
      <c r="D532"/>
      <c r="E532"/>
      <c r="F532"/>
      <c r="G532"/>
      <c r="O532"/>
    </row>
    <row r="533" spans="4:15" ht="12.75">
      <c r="D533"/>
      <c r="E533"/>
      <c r="F533"/>
      <c r="G533"/>
      <c r="O533"/>
    </row>
    <row r="534" spans="4:15" ht="12.75">
      <c r="D534"/>
      <c r="E534"/>
      <c r="F534"/>
      <c r="G534"/>
      <c r="O534"/>
    </row>
    <row r="535" spans="4:15" ht="12.75">
      <c r="D535"/>
      <c r="E535"/>
      <c r="F535"/>
      <c r="G535"/>
      <c r="O535"/>
    </row>
    <row r="536" spans="4:15" ht="12.75">
      <c r="D536"/>
      <c r="E536"/>
      <c r="F536"/>
      <c r="G536"/>
      <c r="O536"/>
    </row>
    <row r="537" spans="4:15" ht="12.75">
      <c r="D537"/>
      <c r="E537"/>
      <c r="F537"/>
      <c r="G537"/>
      <c r="O537"/>
    </row>
    <row r="538" spans="4:15" ht="12.75">
      <c r="D538"/>
      <c r="E538"/>
      <c r="F538"/>
      <c r="G538"/>
      <c r="O538"/>
    </row>
    <row r="539" spans="4:15" ht="12.75">
      <c r="D539"/>
      <c r="E539"/>
      <c r="F539"/>
      <c r="G539"/>
      <c r="O539"/>
    </row>
    <row r="540" spans="4:15" ht="12.75">
      <c r="D540"/>
      <c r="E540"/>
      <c r="F540"/>
      <c r="G540"/>
      <c r="O540"/>
    </row>
    <row r="541" spans="4:15" ht="12.75">
      <c r="D541"/>
      <c r="E541"/>
      <c r="F541"/>
      <c r="G541"/>
      <c r="O541"/>
    </row>
    <row r="542" spans="4:15" ht="12.75">
      <c r="D542"/>
      <c r="E542"/>
      <c r="F542"/>
      <c r="G542"/>
      <c r="O542"/>
    </row>
    <row r="543" spans="4:15" ht="12.75">
      <c r="D543"/>
      <c r="E543"/>
      <c r="F543"/>
      <c r="G543"/>
      <c r="O543"/>
    </row>
    <row r="544" spans="4:15" ht="12.75">
      <c r="D544"/>
      <c r="E544"/>
      <c r="F544"/>
      <c r="G544"/>
      <c r="O544"/>
    </row>
    <row r="545" spans="4:15" ht="12.75">
      <c r="D545"/>
      <c r="E545"/>
      <c r="F545"/>
      <c r="G545"/>
      <c r="O545"/>
    </row>
    <row r="546" spans="4:15" ht="12.75">
      <c r="D546"/>
      <c r="E546"/>
      <c r="F546"/>
      <c r="G546"/>
      <c r="O546"/>
    </row>
    <row r="547" spans="4:15" ht="12.75">
      <c r="D547"/>
      <c r="E547"/>
      <c r="F547"/>
      <c r="G547"/>
      <c r="O547"/>
    </row>
    <row r="548" spans="4:15" ht="12.75">
      <c r="D548"/>
      <c r="E548"/>
      <c r="F548"/>
      <c r="G548"/>
      <c r="O548"/>
    </row>
    <row r="549" spans="4:15" ht="12.75">
      <c r="D549"/>
      <c r="E549"/>
      <c r="F549"/>
      <c r="G549"/>
      <c r="O549"/>
    </row>
    <row r="550" spans="4:15" ht="12.75">
      <c r="D550"/>
      <c r="E550"/>
      <c r="F550"/>
      <c r="G550"/>
      <c r="O550"/>
    </row>
    <row r="551" spans="4:15" ht="12.75">
      <c r="D551"/>
      <c r="E551"/>
      <c r="F551"/>
      <c r="G551"/>
      <c r="O551"/>
    </row>
    <row r="552" spans="4:15" ht="12.75">
      <c r="D552"/>
      <c r="E552"/>
      <c r="F552"/>
      <c r="G552"/>
      <c r="O552"/>
    </row>
    <row r="553" spans="4:15" ht="12.75">
      <c r="D553"/>
      <c r="E553"/>
      <c r="F553"/>
      <c r="G553"/>
      <c r="O553"/>
    </row>
    <row r="554" spans="4:15" ht="12.75">
      <c r="D554"/>
      <c r="E554"/>
      <c r="F554"/>
      <c r="G554"/>
      <c r="O554"/>
    </row>
    <row r="555" spans="4:15" ht="12.75">
      <c r="D555"/>
      <c r="E555"/>
      <c r="F555"/>
      <c r="G555"/>
      <c r="O555"/>
    </row>
  </sheetData>
  <sheetProtection/>
  <mergeCells count="179">
    <mergeCell ref="A1:L1"/>
    <mergeCell ref="A2:L2"/>
    <mergeCell ref="A3:L3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Q11:R11"/>
    <mergeCell ref="Q12:R12"/>
    <mergeCell ref="A14:A19"/>
    <mergeCell ref="F14:F19"/>
    <mergeCell ref="G14:G19"/>
    <mergeCell ref="H14:H19"/>
    <mergeCell ref="I14:I19"/>
    <mergeCell ref="J14:J19"/>
    <mergeCell ref="A20:A25"/>
    <mergeCell ref="F20:F25"/>
    <mergeCell ref="G20:G25"/>
    <mergeCell ref="H20:H25"/>
    <mergeCell ref="I20:I25"/>
    <mergeCell ref="J20:J25"/>
    <mergeCell ref="A26:A31"/>
    <mergeCell ref="F26:F31"/>
    <mergeCell ref="G26:G31"/>
    <mergeCell ref="H26:H31"/>
    <mergeCell ref="I26:I31"/>
    <mergeCell ref="J26:J31"/>
    <mergeCell ref="A32:A37"/>
    <mergeCell ref="F32:F37"/>
    <mergeCell ref="G32:G37"/>
    <mergeCell ref="H32:H37"/>
    <mergeCell ref="I32:I37"/>
    <mergeCell ref="J32:J37"/>
    <mergeCell ref="A38:A43"/>
    <mergeCell ref="F38:F43"/>
    <mergeCell ref="G38:G43"/>
    <mergeCell ref="H38:H43"/>
    <mergeCell ref="I38:I43"/>
    <mergeCell ref="J38:J43"/>
    <mergeCell ref="A44:A49"/>
    <mergeCell ref="F44:F49"/>
    <mergeCell ref="G44:G49"/>
    <mergeCell ref="H44:H49"/>
    <mergeCell ref="I44:I49"/>
    <mergeCell ref="J44:J49"/>
    <mergeCell ref="A50:A55"/>
    <mergeCell ref="F50:F55"/>
    <mergeCell ref="G50:G55"/>
    <mergeCell ref="H50:H55"/>
    <mergeCell ref="I50:I55"/>
    <mergeCell ref="J50:J55"/>
    <mergeCell ref="A56:A61"/>
    <mergeCell ref="F56:F61"/>
    <mergeCell ref="G56:G61"/>
    <mergeCell ref="H56:H61"/>
    <mergeCell ref="I56:I61"/>
    <mergeCell ref="J56:J61"/>
    <mergeCell ref="A62:A67"/>
    <mergeCell ref="F62:F67"/>
    <mergeCell ref="G62:G67"/>
    <mergeCell ref="H62:H67"/>
    <mergeCell ref="I62:I67"/>
    <mergeCell ref="J62:J67"/>
    <mergeCell ref="A68:A73"/>
    <mergeCell ref="F68:F73"/>
    <mergeCell ref="G68:G73"/>
    <mergeCell ref="H68:H73"/>
    <mergeCell ref="I68:I73"/>
    <mergeCell ref="J68:J73"/>
    <mergeCell ref="A74:A79"/>
    <mergeCell ref="F74:F79"/>
    <mergeCell ref="G74:G79"/>
    <mergeCell ref="H74:H79"/>
    <mergeCell ref="I74:I79"/>
    <mergeCell ref="J74:J79"/>
    <mergeCell ref="A80:A85"/>
    <mergeCell ref="F80:F85"/>
    <mergeCell ref="G80:G85"/>
    <mergeCell ref="H80:H85"/>
    <mergeCell ref="I80:I85"/>
    <mergeCell ref="J80:J85"/>
    <mergeCell ref="A86:A91"/>
    <mergeCell ref="F86:F91"/>
    <mergeCell ref="G86:G91"/>
    <mergeCell ref="H86:H91"/>
    <mergeCell ref="I86:I91"/>
    <mergeCell ref="J86:J91"/>
    <mergeCell ref="A92:A97"/>
    <mergeCell ref="F92:F97"/>
    <mergeCell ref="G92:G97"/>
    <mergeCell ref="H92:H97"/>
    <mergeCell ref="I92:I97"/>
    <mergeCell ref="J92:J97"/>
    <mergeCell ref="A98:A103"/>
    <mergeCell ref="F98:F103"/>
    <mergeCell ref="G98:G103"/>
    <mergeCell ref="H98:H103"/>
    <mergeCell ref="I98:I103"/>
    <mergeCell ref="J98:J103"/>
    <mergeCell ref="A104:A109"/>
    <mergeCell ref="F104:F109"/>
    <mergeCell ref="G104:G109"/>
    <mergeCell ref="H104:H109"/>
    <mergeCell ref="I104:I109"/>
    <mergeCell ref="J104:J109"/>
    <mergeCell ref="A110:A115"/>
    <mergeCell ref="F110:F115"/>
    <mergeCell ref="G110:G115"/>
    <mergeCell ref="H110:H115"/>
    <mergeCell ref="I110:I115"/>
    <mergeCell ref="J110:J115"/>
    <mergeCell ref="A116:A121"/>
    <mergeCell ref="F116:F121"/>
    <mergeCell ref="G116:G121"/>
    <mergeCell ref="H116:H121"/>
    <mergeCell ref="I116:I121"/>
    <mergeCell ref="J116:J121"/>
    <mergeCell ref="A122:A127"/>
    <mergeCell ref="F122:F127"/>
    <mergeCell ref="G122:G127"/>
    <mergeCell ref="H122:H127"/>
    <mergeCell ref="I122:I127"/>
    <mergeCell ref="J122:J127"/>
    <mergeCell ref="A128:A133"/>
    <mergeCell ref="F128:F133"/>
    <mergeCell ref="G128:G133"/>
    <mergeCell ref="H128:H133"/>
    <mergeCell ref="I128:I133"/>
    <mergeCell ref="J128:J133"/>
    <mergeCell ref="A134:A139"/>
    <mergeCell ref="F134:F139"/>
    <mergeCell ref="G134:G139"/>
    <mergeCell ref="H134:H139"/>
    <mergeCell ref="I134:I139"/>
    <mergeCell ref="J134:J139"/>
    <mergeCell ref="A140:A145"/>
    <mergeCell ref="F140:F145"/>
    <mergeCell ref="G140:G145"/>
    <mergeCell ref="H140:H145"/>
    <mergeCell ref="I140:I145"/>
    <mergeCell ref="J140:J145"/>
    <mergeCell ref="A146:A151"/>
    <mergeCell ref="F146:F151"/>
    <mergeCell ref="G146:G151"/>
    <mergeCell ref="H146:H151"/>
    <mergeCell ref="I146:I151"/>
    <mergeCell ref="J146:J151"/>
    <mergeCell ref="A152:A157"/>
    <mergeCell ref="F152:F157"/>
    <mergeCell ref="G152:G157"/>
    <mergeCell ref="H152:H157"/>
    <mergeCell ref="I152:I157"/>
    <mergeCell ref="J152:J157"/>
    <mergeCell ref="A158:A163"/>
    <mergeCell ref="F158:F163"/>
    <mergeCell ref="G158:G163"/>
    <mergeCell ref="H158:H163"/>
    <mergeCell ref="I158:I163"/>
    <mergeCell ref="J158:J163"/>
    <mergeCell ref="A164:A169"/>
    <mergeCell ref="F164:F169"/>
    <mergeCell ref="G164:G169"/>
    <mergeCell ref="H164:H169"/>
    <mergeCell ref="I164:I169"/>
    <mergeCell ref="J164:J169"/>
    <mergeCell ref="A170:A175"/>
    <mergeCell ref="F170:F175"/>
    <mergeCell ref="G170:G175"/>
    <mergeCell ref="H170:H175"/>
    <mergeCell ref="I170:I175"/>
    <mergeCell ref="J170:J175"/>
  </mergeCells>
  <printOptions horizontalCentered="1"/>
  <pageMargins left="0.1968503937007874" right="0.1968503937007874" top="0.7874015748031497" bottom="0.1968503937007874" header="0.3937007874015748" footer="0.3937007874015748"/>
  <pageSetup fitToHeight="5" fitToWidth="1" horizontalDpi="600" verticalDpi="600" orientation="landscape" paperSize="9" scale="93" r:id="rId1"/>
  <headerFooter differentFirst="1" alignWithMargins="0">
    <oddHeader>&amp;R&amp;P</oddHeader>
  </headerFooter>
  <rowBreaks count="5" manualBreakCount="5">
    <brk id="37" max="11" man="1"/>
    <brk id="67" max="11" man="1"/>
    <brk id="97" max="11" man="1"/>
    <brk id="127" max="11" man="1"/>
    <brk id="15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80"/>
  <sheetViews>
    <sheetView view="pageBreakPreview" zoomScaleSheetLayoutView="100" zoomScalePageLayoutView="58" workbookViewId="0" topLeftCell="A1">
      <selection activeCell="A1" sqref="A1"/>
    </sheetView>
  </sheetViews>
  <sheetFormatPr defaultColWidth="9.00390625" defaultRowHeight="12.75"/>
  <cols>
    <col min="1" max="1" width="5.75390625" style="14" customWidth="1"/>
    <col min="2" max="2" width="3.875" style="14" customWidth="1"/>
    <col min="3" max="3" width="33.625" style="14" customWidth="1"/>
    <col min="4" max="5" width="17.125" style="295" hidden="1" customWidth="1"/>
    <col min="6" max="7" width="8.75390625" style="295" hidden="1" customWidth="1"/>
    <col min="8" max="8" width="14.00390625" style="295" customWidth="1"/>
    <col min="9" max="9" width="14.00390625" style="14" customWidth="1"/>
    <col min="10" max="10" width="5.75390625" style="14" customWidth="1"/>
    <col min="11" max="16384" width="9.125" style="14" customWidth="1"/>
  </cols>
  <sheetData>
    <row r="1" spans="2:10" s="23" customFormat="1" ht="26.25" customHeight="1">
      <c r="B1" s="472" t="str">
        <f>'Іменні заявки'!C1</f>
        <v>Департамент освіти і науки Хмельницької обласної державної адміністрації</v>
      </c>
      <c r="C1" s="473"/>
      <c r="D1" s="473"/>
      <c r="E1" s="473"/>
      <c r="F1" s="473"/>
      <c r="G1" s="473"/>
      <c r="H1" s="473"/>
      <c r="I1" s="473"/>
      <c r="J1" s="24"/>
    </row>
    <row r="2" spans="2:10" s="23" customFormat="1" ht="29.25" customHeight="1">
      <c r="B2" s="472" t="str">
        <f>'Іменні заявки'!C2</f>
        <v>ХМЕЛЬНИЦЬКИЙ ОБЛАСНИЙ ЦЕНТР ТУРИЗМУ І КРАЄЗНАВСТВА УЧНІВСЬКОЇ МОЛОДІ</v>
      </c>
      <c r="C2" s="473"/>
      <c r="D2" s="473"/>
      <c r="E2" s="473"/>
      <c r="F2" s="473"/>
      <c r="G2" s="473"/>
      <c r="H2" s="473"/>
      <c r="I2" s="473"/>
      <c r="J2" s="24"/>
    </row>
    <row r="3" spans="2:10" s="23" customFormat="1" ht="33.75" customHeight="1">
      <c r="B3" s="468" t="str">
        <f>'Іменні заявки'!C3</f>
        <v>Чемпіонат області серед працівників закладів освіти з пішохідного туризму "Листопад-2015"</v>
      </c>
      <c r="C3" s="468"/>
      <c r="D3" s="468"/>
      <c r="E3" s="468"/>
      <c r="F3" s="468"/>
      <c r="G3" s="468"/>
      <c r="H3" s="468"/>
      <c r="I3" s="468"/>
      <c r="J3" s="24"/>
    </row>
    <row r="4" spans="2:10" s="23" customFormat="1" ht="6" customHeight="1">
      <c r="B4" s="467"/>
      <c r="C4" s="468"/>
      <c r="D4" s="468"/>
      <c r="E4" s="468"/>
      <c r="F4" s="468"/>
      <c r="G4" s="468"/>
      <c r="H4" s="468"/>
      <c r="I4" s="468"/>
      <c r="J4" s="24"/>
    </row>
    <row r="5" spans="2:10" s="23" customFormat="1" ht="12.75">
      <c r="B5" s="2" t="s">
        <v>336</v>
      </c>
      <c r="C5" s="3"/>
      <c r="D5" s="14"/>
      <c r="E5" s="14"/>
      <c r="F5" s="14"/>
      <c r="G5" s="14"/>
      <c r="H5" s="14"/>
      <c r="I5" s="155" t="str">
        <f>'Іменні заявки'!C4</f>
        <v>ур.Новики Старокостянтинівського р-ну</v>
      </c>
      <c r="J5" s="24"/>
    </row>
    <row r="6" spans="2:10" s="23" customFormat="1" ht="33" customHeight="1">
      <c r="B6" s="476" t="s">
        <v>250</v>
      </c>
      <c r="C6" s="469"/>
      <c r="D6" s="469"/>
      <c r="E6" s="469"/>
      <c r="F6" s="469"/>
      <c r="G6" s="469"/>
      <c r="H6" s="469"/>
      <c r="I6" s="469"/>
      <c r="J6" s="24"/>
    </row>
    <row r="7" spans="2:10" ht="13.5" thickBot="1">
      <c r="B7" s="3"/>
      <c r="C7" s="3"/>
      <c r="D7" s="14"/>
      <c r="E7" s="14"/>
      <c r="F7" s="14"/>
      <c r="G7" s="14"/>
      <c r="H7" s="14"/>
      <c r="I7" s="3"/>
      <c r="J7" s="25"/>
    </row>
    <row r="8" spans="2:10" ht="41.25" customHeight="1" thickBot="1">
      <c r="B8" s="278" t="s">
        <v>26</v>
      </c>
      <c r="C8" s="284" t="s">
        <v>27</v>
      </c>
      <c r="D8" s="299" t="s">
        <v>236</v>
      </c>
      <c r="E8" s="299" t="s">
        <v>237</v>
      </c>
      <c r="F8" s="299" t="s">
        <v>238</v>
      </c>
      <c r="G8" s="299" t="s">
        <v>239</v>
      </c>
      <c r="H8" s="286" t="s">
        <v>240</v>
      </c>
      <c r="I8" s="286" t="s">
        <v>251</v>
      </c>
      <c r="J8" s="25"/>
    </row>
    <row r="9" spans="1:10" ht="18.75" customHeight="1">
      <c r="A9" s="12">
        <v>230</v>
      </c>
      <c r="B9" s="147">
        <f>IF(ISTEXT(C9),COUNTIF(C$9:C9,"&lt;&gt;0"),"")</f>
        <v>1</v>
      </c>
      <c r="C9" s="13" t="str">
        <f>VLOOKUP($A9,'Іменні заявки'!$A:$J,7,FALSE)</f>
        <v>м.Славути</v>
      </c>
      <c r="D9" s="287"/>
      <c r="E9" s="157"/>
      <c r="F9" s="157"/>
      <c r="G9" s="157"/>
      <c r="H9" s="28">
        <f>IF(ISNA(VLOOKUP(A9,'Проток.жеребк.'!$A:$G,5,FALSE)),"—",VLOOKUP(A9,'Проток.жеребк.'!$A:$G,5,FALSE))</f>
        <v>1</v>
      </c>
      <c r="I9" s="288">
        <v>0.3333333333333333</v>
      </c>
      <c r="J9" s="21">
        <f aca="true" t="shared" si="0" ref="J9:J35">A9</f>
        <v>230</v>
      </c>
    </row>
    <row r="10" spans="1:10" ht="18.75" customHeight="1">
      <c r="A10" s="12">
        <v>220</v>
      </c>
      <c r="B10" s="27">
        <f>IF(ISTEXT(C10),COUNTIF(C$9:C10,"&lt;&gt;0"),"")</f>
        <v>2</v>
      </c>
      <c r="C10" s="13" t="str">
        <f>VLOOKUP($A10,'Іменні заявки'!$A:$J,7,FALSE)</f>
        <v>м. Нетішина</v>
      </c>
      <c r="D10" s="148"/>
      <c r="E10" s="289"/>
      <c r="F10" s="289"/>
      <c r="G10" s="289"/>
      <c r="H10" s="28">
        <f>IF(ISNA(VLOOKUP(A10,'Проток.жеребк.'!$A:$G,5,FALSE)),"—",VLOOKUP(A10,'Проток.жеребк.'!$A:$G,5,FALSE))</f>
        <v>2</v>
      </c>
      <c r="I10" s="290">
        <v>0.34722222222222227</v>
      </c>
      <c r="J10" s="21">
        <f t="shared" si="0"/>
        <v>220</v>
      </c>
    </row>
    <row r="11" spans="1:10" ht="18.75" customHeight="1">
      <c r="A11" s="12">
        <v>170</v>
      </c>
      <c r="B11" s="27">
        <f>IF(ISTEXT(C11),COUNTIF(C$9:C11,"&lt;&gt;0"),"")</f>
        <v>3</v>
      </c>
      <c r="C11" s="13" t="str">
        <f>VLOOKUP($A11,'Іменні заявки'!$A:$J,7,FALSE)</f>
        <v>Хмельницького р-ну</v>
      </c>
      <c r="D11" s="287"/>
      <c r="E11" s="157"/>
      <c r="F11" s="157"/>
      <c r="G11" s="157"/>
      <c r="H11" s="26">
        <f>IF(ISNA(VLOOKUP(A11,'Проток.жеребк.'!$A:$G,5,FALSE)),"—",VLOOKUP(A11,'Проток.жеребк.'!$A:$G,5,FALSE))</f>
        <v>3</v>
      </c>
      <c r="I11" s="288">
        <v>0.361111111111111</v>
      </c>
      <c r="J11" s="21">
        <f t="shared" si="0"/>
        <v>170</v>
      </c>
    </row>
    <row r="12" spans="1:10" ht="18.75" customHeight="1">
      <c r="A12" s="12">
        <v>210</v>
      </c>
      <c r="B12" s="27">
        <f>IF(ISTEXT(C12),COUNTIF(C$9:C12,"&lt;&gt;0"),"")</f>
        <v>4</v>
      </c>
      <c r="C12" s="13" t="str">
        <f>VLOOKUP($A12,'Іменні заявки'!$A:$J,7,FALSE)</f>
        <v>м.Кам’янця-Подільського</v>
      </c>
      <c r="D12" s="148"/>
      <c r="E12" s="157"/>
      <c r="F12" s="157"/>
      <c r="G12" s="157"/>
      <c r="H12" s="26">
        <f>IF(ISNA(VLOOKUP(A12,'Проток.жеребк.'!$A:$G,5,FALSE)),"—",VLOOKUP(A12,'Проток.жеребк.'!$A:$G,5,FALSE))</f>
        <v>4</v>
      </c>
      <c r="I12" s="290">
        <v>0.375</v>
      </c>
      <c r="J12" s="21">
        <f t="shared" si="0"/>
        <v>210</v>
      </c>
    </row>
    <row r="13" spans="1:10" ht="18.75" customHeight="1">
      <c r="A13" s="12">
        <v>120</v>
      </c>
      <c r="B13" s="27">
        <f>IF(ISTEXT(C13),COUNTIF(C$9:C13,"&lt;&gt;0"),"")</f>
        <v>5</v>
      </c>
      <c r="C13" s="13" t="str">
        <f>VLOOKUP($A13,'Іменні заявки'!$A:$J,7,FALSE)</f>
        <v>Полонського р-ну</v>
      </c>
      <c r="D13" s="287"/>
      <c r="E13" s="157"/>
      <c r="F13" s="157"/>
      <c r="G13" s="157"/>
      <c r="H13" s="28">
        <f>IF(ISNA(VLOOKUP(A13,'Проток.жеребк.'!$A:$G,5,FALSE)),"—",VLOOKUP(A13,'Проток.жеребк.'!$A:$G,5,FALSE))</f>
        <v>5</v>
      </c>
      <c r="I13" s="288">
        <v>0.388888888888889</v>
      </c>
      <c r="J13" s="21">
        <f t="shared" si="0"/>
        <v>120</v>
      </c>
    </row>
    <row r="14" spans="1:10" ht="18.75" customHeight="1">
      <c r="A14" s="12">
        <v>190</v>
      </c>
      <c r="B14" s="27">
        <f>IF(ISTEXT(C14),COUNTIF(C$9:C14,"&lt;&gt;0"),"")</f>
        <v>6</v>
      </c>
      <c r="C14" s="13" t="str">
        <f>VLOOKUP($A14,'Іменні заявки'!$A:$J,7,FALSE)</f>
        <v>Шепетівського р-ну</v>
      </c>
      <c r="D14" s="148"/>
      <c r="E14" s="157"/>
      <c r="F14" s="157"/>
      <c r="G14" s="157"/>
      <c r="H14" s="26">
        <f>IF(ISNA(VLOOKUP(A14,'Проток.жеребк.'!$A:$G,5,FALSE)),"—",VLOOKUP(A14,'Проток.жеребк.'!$A:$G,5,FALSE))</f>
        <v>6</v>
      </c>
      <c r="I14" s="290">
        <v>0.402777777777778</v>
      </c>
      <c r="J14" s="21">
        <f t="shared" si="0"/>
        <v>190</v>
      </c>
    </row>
    <row r="15" spans="1:10" ht="18.75" customHeight="1">
      <c r="A15" s="12">
        <v>260</v>
      </c>
      <c r="B15" s="27">
        <f>IF(ISTEXT(C15),COUNTIF(C$9:C15,"&lt;&gt;0"),"")</f>
        <v>7</v>
      </c>
      <c r="C15" s="13" t="str">
        <f>VLOOKUP($A15,'Іменні заявки'!$A:$J,7,FALSE)</f>
        <v>м.Шепетівки</v>
      </c>
      <c r="D15" s="287"/>
      <c r="E15" s="157"/>
      <c r="F15" s="157"/>
      <c r="G15" s="157"/>
      <c r="H15" s="26">
        <f>IF(ISNA(VLOOKUP(A15,'Проток.жеребк.'!$A:$G,5,FALSE)),"—",VLOOKUP(A15,'Проток.жеребк.'!$A:$G,5,FALSE))</f>
        <v>7</v>
      </c>
      <c r="I15" s="288">
        <v>0.416666666666667</v>
      </c>
      <c r="J15" s="21">
        <f t="shared" si="0"/>
        <v>260</v>
      </c>
    </row>
    <row r="16" spans="1:10" ht="18.75" customHeight="1">
      <c r="A16" s="12">
        <v>140</v>
      </c>
      <c r="B16" s="27">
        <f>IF(ISTEXT(C16),COUNTIF(C$9:C16,"&lt;&gt;0"),"")</f>
        <v>8</v>
      </c>
      <c r="C16" s="13" t="str">
        <f>VLOOKUP($A16,'Іменні заявки'!$A:$J,7,FALSE)</f>
        <v>Старокостянтин. р-ну</v>
      </c>
      <c r="D16" s="148"/>
      <c r="E16" s="289"/>
      <c r="F16" s="289"/>
      <c r="G16" s="289"/>
      <c r="H16" s="28">
        <f>IF(ISNA(VLOOKUP(A16,'Проток.жеребк.'!$A:$G,5,FALSE)),"—",VLOOKUP(A16,'Проток.жеребк.'!$A:$G,5,FALSE))</f>
        <v>8</v>
      </c>
      <c r="I16" s="290">
        <v>0.430555555555556</v>
      </c>
      <c r="J16" s="21">
        <f t="shared" si="0"/>
        <v>140</v>
      </c>
    </row>
    <row r="17" spans="1:10" ht="18.75" customHeight="1">
      <c r="A17" s="12">
        <v>250</v>
      </c>
      <c r="B17" s="27">
        <f>IF(ISTEXT(C17),COUNTIF(C$9:C17,"&lt;&gt;0"),"")</f>
        <v>9</v>
      </c>
      <c r="C17" s="13" t="str">
        <f>VLOOKUP($A17,'Іменні заявки'!$A:$J,7,FALSE)</f>
        <v>м.Хмельницького</v>
      </c>
      <c r="D17" s="287"/>
      <c r="E17" s="157"/>
      <c r="F17" s="157"/>
      <c r="G17" s="157"/>
      <c r="H17" s="26">
        <f>IF(ISNA(VLOOKUP(A17,'Проток.жеребк.'!$A:$G,5,FALSE)),"—",VLOOKUP(A17,'Проток.жеребк.'!$A:$G,5,FALSE))</f>
        <v>9</v>
      </c>
      <c r="I17" s="288">
        <v>0.444444444444445</v>
      </c>
      <c r="J17" s="21">
        <f t="shared" si="0"/>
        <v>250</v>
      </c>
    </row>
    <row r="18" spans="1:10" ht="18.75" customHeight="1">
      <c r="A18" s="12">
        <v>180</v>
      </c>
      <c r="B18" s="27">
        <f>IF(ISTEXT(C18),COUNTIF(C$9:C18,"&lt;&gt;0"),"")</f>
        <v>10</v>
      </c>
      <c r="C18" s="13" t="str">
        <f>VLOOKUP($A18,'Іменні заявки'!$A:$J,7,FALSE)</f>
        <v>Чемеровецького р-ну</v>
      </c>
      <c r="D18" s="148"/>
      <c r="E18" s="157"/>
      <c r="F18" s="157"/>
      <c r="G18" s="157"/>
      <c r="H18" s="26">
        <f>IF(ISNA(VLOOKUP(A18,'Проток.жеребк.'!$A:$G,5,FALSE)),"—",VLOOKUP(A18,'Проток.жеребк.'!$A:$G,5,FALSE))</f>
        <v>10</v>
      </c>
      <c r="I18" s="290">
        <v>0.458333333333334</v>
      </c>
      <c r="J18" s="21">
        <f t="shared" si="0"/>
        <v>180</v>
      </c>
    </row>
    <row r="19" spans="1:10" ht="18.75" customHeight="1">
      <c r="A19" s="12">
        <v>110</v>
      </c>
      <c r="B19" s="27">
        <f>IF(ISTEXT(C19),COUNTIF(C$9:C19,"&lt;&gt;0"),"")</f>
        <v>11</v>
      </c>
      <c r="C19" s="13" t="str">
        <f>VLOOKUP($A19,'Іменні заявки'!$A:$J,7,FALSE)</f>
        <v>Новоушицького р-ну</v>
      </c>
      <c r="D19" s="287"/>
      <c r="E19" s="157"/>
      <c r="F19" s="157"/>
      <c r="G19" s="157"/>
      <c r="H19" s="28">
        <f>IF(ISNA(VLOOKUP(A19,'Проток.жеребк.'!$A:$G,5,FALSE)),"—",VLOOKUP(A19,'Проток.жеребк.'!$A:$G,5,FALSE))</f>
        <v>11</v>
      </c>
      <c r="I19" s="288">
        <v>0.472222222222223</v>
      </c>
      <c r="J19" s="21">
        <f t="shared" si="0"/>
        <v>110</v>
      </c>
    </row>
    <row r="20" spans="1:10" ht="18.75" customHeight="1">
      <c r="A20" s="12">
        <v>240</v>
      </c>
      <c r="B20" s="27">
        <f>IF(ISTEXT(C20),COUNTIF(C$9:C20,"&lt;&gt;0"),"")</f>
        <v>12</v>
      </c>
      <c r="C20" s="13" t="str">
        <f>VLOOKUP($A20,'Іменні заявки'!$A:$J,7,FALSE)</f>
        <v>м.Старокостянтинів</v>
      </c>
      <c r="D20" s="148"/>
      <c r="E20" s="157"/>
      <c r="F20" s="157"/>
      <c r="G20" s="157"/>
      <c r="H20" s="26">
        <f>IF(ISNA(VLOOKUP(A20,'Проток.жеребк.'!$A:$G,5,FALSE)),"—",VLOOKUP(A20,'Проток.жеребк.'!$A:$G,5,FALSE))</f>
        <v>12</v>
      </c>
      <c r="I20" s="290">
        <v>0.486111111111111</v>
      </c>
      <c r="J20" s="21">
        <f t="shared" si="0"/>
        <v>240</v>
      </c>
    </row>
    <row r="21" spans="1:10" ht="18.75" customHeight="1">
      <c r="A21" s="12">
        <v>20</v>
      </c>
      <c r="B21" s="27">
        <f>IF(ISTEXT(C21),COUNTIF(C$9:C21,"&lt;&gt;0"),"")</f>
        <v>13</v>
      </c>
      <c r="C21" s="13" t="str">
        <f>VLOOKUP($A21,'Іменні заявки'!$A:$J,7,FALSE)</f>
        <v>Віньковецького р-ну</v>
      </c>
      <c r="D21" s="148"/>
      <c r="E21" s="157"/>
      <c r="F21" s="157"/>
      <c r="G21" s="157"/>
      <c r="H21" s="26">
        <f>IF(ISNA(VLOOKUP(A21,'Проток.жеребк.'!$A:$G,5,FALSE)),"—",VLOOKUP(A21,'Проток.жеребк.'!$A:$G,5,FALSE))</f>
        <v>13</v>
      </c>
      <c r="I21" s="288">
        <v>0.5</v>
      </c>
      <c r="J21" s="21">
        <f t="shared" si="0"/>
        <v>20</v>
      </c>
    </row>
    <row r="22" spans="1:10" ht="18.75" customHeight="1">
      <c r="A22" s="12">
        <v>90</v>
      </c>
      <c r="B22" s="27">
        <f>IF(ISTEXT(C22),COUNTIF(C$9:C22,"&lt;&gt;0"),"")</f>
        <v>14</v>
      </c>
      <c r="C22" s="13" t="str">
        <f>VLOOKUP($A22,'Іменні заявки'!$A:$J,7,FALSE)</f>
        <v>Красилівського р-ну</v>
      </c>
      <c r="D22" s="148"/>
      <c r="E22" s="157"/>
      <c r="F22" s="157"/>
      <c r="G22" s="157"/>
      <c r="H22" s="26">
        <f>IF(ISNA(VLOOKUP(A22,'Проток.жеребк.'!$A:$G,5,FALSE)),"—",VLOOKUP(A22,'Проток.жеребк.'!$A:$G,5,FALSE))</f>
        <v>14</v>
      </c>
      <c r="I22" s="290">
        <v>0.513888888888889</v>
      </c>
      <c r="J22" s="21">
        <f t="shared" si="0"/>
        <v>90</v>
      </c>
    </row>
    <row r="23" spans="1:10" ht="18.75" customHeight="1">
      <c r="A23" s="12">
        <v>50</v>
      </c>
      <c r="B23" s="27">
        <f>IF(ISTEXT(C23),COUNTIF(C$9:C23,"&lt;&gt;0"),"")</f>
        <v>15</v>
      </c>
      <c r="C23" s="13" t="str">
        <f>VLOOKUP($A23,'Іменні заявки'!$A:$J,7,FALSE)</f>
        <v>Деражнянського р-ну</v>
      </c>
      <c r="D23" s="148"/>
      <c r="E23" s="157"/>
      <c r="F23" s="157"/>
      <c r="G23" s="157"/>
      <c r="H23" s="26">
        <f>IF(ISNA(VLOOKUP(A23,'Проток.жеребк.'!$A:$G,5,FALSE)),"—",VLOOKUP(A23,'Проток.жеребк.'!$A:$G,5,FALSE))</f>
        <v>15</v>
      </c>
      <c r="I23" s="288">
        <v>0.527777777777778</v>
      </c>
      <c r="J23" s="21">
        <f t="shared" si="0"/>
        <v>50</v>
      </c>
    </row>
    <row r="24" spans="1:10" ht="18.75" customHeight="1">
      <c r="A24" s="12">
        <v>10</v>
      </c>
      <c r="B24" s="27">
        <f>IF(ISTEXT(C24),COUNTIF(C$9:C24,"&lt;&gt;0"),"")</f>
        <v>16</v>
      </c>
      <c r="C24" s="13" t="str">
        <f>VLOOKUP($A24,'Іменні заявки'!$A:$J,7,FALSE)</f>
        <v>Білогірського р-ну</v>
      </c>
      <c r="D24" s="148"/>
      <c r="E24" s="157"/>
      <c r="F24" s="157"/>
      <c r="G24" s="157"/>
      <c r="H24" s="26">
        <f>IF(ISNA(VLOOKUP(A24,'Проток.жеребк.'!$A:$G,5,FALSE)),"—",VLOOKUP(A24,'Проток.жеребк.'!$A:$G,5,FALSE))</f>
        <v>16</v>
      </c>
      <c r="I24" s="290">
        <v>0.541666666666667</v>
      </c>
      <c r="J24" s="21">
        <f t="shared" si="0"/>
        <v>10</v>
      </c>
    </row>
    <row r="25" spans="1:10" ht="18.75" customHeight="1" thickBot="1">
      <c r="A25" s="12">
        <v>60</v>
      </c>
      <c r="B25" s="27">
        <f>IF(ISTEXT(C25),COUNTIF(C$9:C25,"&lt;&gt;0"),"")</f>
        <v>17</v>
      </c>
      <c r="C25" s="13" t="str">
        <f>VLOOKUP($A25,'Іменні заявки'!$A:$J,7,FALSE)</f>
        <v>Дунаєвецького р-ну</v>
      </c>
      <c r="D25" s="148"/>
      <c r="E25" s="157"/>
      <c r="F25" s="157"/>
      <c r="G25" s="157"/>
      <c r="H25" s="26">
        <f>IF(ISNA(VLOOKUP(A25,'Проток.жеребк.'!$A:$G,5,FALSE)),"—",VLOOKUP(A25,'Проток.жеребк.'!$A:$G,5,FALSE))</f>
        <v>17</v>
      </c>
      <c r="I25" s="288">
        <v>0.555555555555556</v>
      </c>
      <c r="J25" s="21">
        <f t="shared" si="0"/>
        <v>60</v>
      </c>
    </row>
    <row r="26" spans="1:10" ht="18.75" customHeight="1" hidden="1">
      <c r="A26" s="12">
        <v>70</v>
      </c>
      <c r="B26" s="27">
        <f>IF(ISTEXT(C26),COUNTIF(C$9:C26,"&lt;&gt;0"),"")</f>
      </c>
      <c r="C26" s="13">
        <f>VLOOKUP($A26,'Іменні заявки'!$A:$J,7,FALSE)</f>
        <v>0</v>
      </c>
      <c r="D26" s="148"/>
      <c r="E26" s="157"/>
      <c r="F26" s="157"/>
      <c r="G26" s="157"/>
      <c r="H26" s="26">
        <f>IF(ISNA(VLOOKUP(A26,'Проток.жеребк.'!$A:$G,5,FALSE)),"—",VLOOKUP(A26,'Проток.жеребк.'!$A:$G,5,FALSE))</f>
        <v>0</v>
      </c>
      <c r="I26" s="290">
        <v>0.569444444444445</v>
      </c>
      <c r="J26" s="21">
        <f t="shared" si="0"/>
        <v>70</v>
      </c>
    </row>
    <row r="27" spans="1:10" ht="18.75" customHeight="1" hidden="1">
      <c r="A27" s="12">
        <v>130</v>
      </c>
      <c r="B27" s="27">
        <f>IF(ISTEXT(C27),COUNTIF(C$9:C27,"&lt;&gt;0"),"")</f>
      </c>
      <c r="C27" s="156">
        <f>VLOOKUP($A27,'Іменні заявки'!$A:$J,7,FALSE)</f>
        <v>0</v>
      </c>
      <c r="D27" s="148"/>
      <c r="E27" s="289"/>
      <c r="F27" s="289"/>
      <c r="G27" s="28"/>
      <c r="H27" s="28">
        <f>IF(ISNA(VLOOKUP(A27,'Проток.жеребк.'!$A:$G,5,FALSE)),"—",VLOOKUP(A27,'Проток.жеребк.'!$A:$G,5,FALSE))</f>
        <v>0</v>
      </c>
      <c r="I27" s="288">
        <v>0.583333333333334</v>
      </c>
      <c r="J27" s="21">
        <f t="shared" si="0"/>
        <v>130</v>
      </c>
    </row>
    <row r="28" spans="1:10" ht="18.75" customHeight="1" hidden="1">
      <c r="A28" s="12">
        <v>80</v>
      </c>
      <c r="B28" s="291">
        <f>IF(ISTEXT(C28),COUNTIF(C$9:C28,"&lt;&gt;0"),"")</f>
      </c>
      <c r="C28" s="13">
        <f>VLOOKUP($A28,'Іменні заявки'!$A:$J,7,FALSE)</f>
        <v>0</v>
      </c>
      <c r="D28" s="287"/>
      <c r="E28" s="157"/>
      <c r="F28" s="157"/>
      <c r="G28" s="157"/>
      <c r="H28" s="26">
        <f>IF(ISNA(VLOOKUP(A28,'Проток.жеребк.'!$A:$G,5,FALSE)),"—",VLOOKUP(A28,'Проток.жеребк.'!$A:$G,5,FALSE))</f>
        <v>0</v>
      </c>
      <c r="I28" s="290">
        <v>0.597222222222223</v>
      </c>
      <c r="J28" s="21">
        <f t="shared" si="0"/>
        <v>80</v>
      </c>
    </row>
    <row r="29" spans="1:10" ht="18.75" customHeight="1" hidden="1">
      <c r="A29" s="12">
        <v>100</v>
      </c>
      <c r="B29" s="27">
        <f>IF(ISTEXT(C29),COUNTIF(C$9:C29,"&lt;&gt;0"),"")</f>
      </c>
      <c r="C29" s="13">
        <f>VLOOKUP($A29,'Іменні заявки'!$A:$J,7,FALSE)</f>
        <v>0</v>
      </c>
      <c r="D29" s="148"/>
      <c r="E29" s="157"/>
      <c r="F29" s="157"/>
      <c r="G29" s="157"/>
      <c r="H29" s="26">
        <f>IF(ISNA(VLOOKUP(A29,'Проток.жеребк.'!$A:$G,5,FALSE)),"—",VLOOKUP(A29,'Проток.жеребк.'!$A:$G,5,FALSE))</f>
        <v>0</v>
      </c>
      <c r="I29" s="290">
        <v>0.611111111111112</v>
      </c>
      <c r="J29" s="21">
        <f t="shared" si="0"/>
        <v>100</v>
      </c>
    </row>
    <row r="30" spans="1:10" ht="18.75" customHeight="1" hidden="1">
      <c r="A30" s="12">
        <v>160</v>
      </c>
      <c r="B30" s="27">
        <f>IF(ISTEXT(C30),COUNTIF(C$9:C30,"&lt;&gt;0"),"")</f>
      </c>
      <c r="C30" s="13">
        <f>VLOOKUP($A30,'Іменні заявки'!$A:$J,7,FALSE)</f>
        <v>0</v>
      </c>
      <c r="D30" s="148"/>
      <c r="E30" s="157"/>
      <c r="F30" s="157"/>
      <c r="G30" s="157"/>
      <c r="H30" s="26">
        <f>IF(ISNA(VLOOKUP(A30,'Проток.жеребк.'!$A:$G,5,FALSE)),"—",VLOOKUP(A30,'Проток.жеребк.'!$A:$G,5,FALSE))</f>
        <v>0</v>
      </c>
      <c r="I30" s="288">
        <v>0.625000000000001</v>
      </c>
      <c r="J30" s="21">
        <f t="shared" si="0"/>
        <v>160</v>
      </c>
    </row>
    <row r="31" spans="1:10" ht="18.75" customHeight="1" hidden="1">
      <c r="A31" s="12">
        <v>30</v>
      </c>
      <c r="B31" s="27">
        <f>IF(ISTEXT(C31),COUNTIF(C$9:C31,"&lt;&gt;0"),"")</f>
      </c>
      <c r="C31" s="13">
        <f>VLOOKUP($A31,'Іменні заявки'!$A:$J,7,FALSE)</f>
        <v>0</v>
      </c>
      <c r="D31" s="148"/>
      <c r="E31" s="157"/>
      <c r="F31" s="157"/>
      <c r="G31" s="157"/>
      <c r="H31" s="26">
        <f>IF(ISNA(VLOOKUP(A31,'Проток.жеребк.'!$A:$G,5,FALSE)),"—",VLOOKUP(A31,'Проток.жеребк.'!$A:$G,5,FALSE))</f>
        <v>0</v>
      </c>
      <c r="I31" s="290">
        <v>0.63888888888889</v>
      </c>
      <c r="J31" s="21">
        <f t="shared" si="0"/>
        <v>30</v>
      </c>
    </row>
    <row r="32" spans="1:10" ht="18.75" customHeight="1" hidden="1">
      <c r="A32" s="12">
        <v>40</v>
      </c>
      <c r="B32" s="27">
        <f>IF(ISTEXT(C32),COUNTIF(C$9:C32,"&lt;&gt;0"),"")</f>
      </c>
      <c r="C32" s="13">
        <f>VLOOKUP($A32,'Іменні заявки'!$A:$J,7,FALSE)</f>
        <v>0</v>
      </c>
      <c r="D32" s="148"/>
      <c r="E32" s="157"/>
      <c r="F32" s="157"/>
      <c r="G32" s="157"/>
      <c r="H32" s="26">
        <f>IF(ISNA(VLOOKUP(A32,'Проток.жеребк.'!$A:$G,5,FALSE)),"—",VLOOKUP(A32,'Проток.жеребк.'!$A:$G,5,FALSE))</f>
        <v>0</v>
      </c>
      <c r="I32" s="290">
        <v>0.652777777777779</v>
      </c>
      <c r="J32" s="21">
        <f t="shared" si="0"/>
        <v>40</v>
      </c>
    </row>
    <row r="33" spans="1:10" ht="18.75" customHeight="1" hidden="1">
      <c r="A33" s="12">
        <v>100</v>
      </c>
      <c r="B33" s="27">
        <f>IF(ISTEXT(C33),COUNTIF(C$9:C33,"&lt;&gt;0"),"")</f>
      </c>
      <c r="C33" s="13">
        <f>VLOOKUP($A33,'Іменні заявки'!$A:$J,7,FALSE)</f>
        <v>0</v>
      </c>
      <c r="D33" s="148"/>
      <c r="E33" s="157"/>
      <c r="F33" s="157"/>
      <c r="G33" s="157"/>
      <c r="H33" s="26">
        <f>IF(ISNA(VLOOKUP(A33,'Проток.жеребк.'!$A:$G,5,FALSE)),"—",VLOOKUP(A33,'Проток.жеребк.'!$A:$G,5,FALSE))</f>
        <v>0</v>
      </c>
      <c r="I33" s="288">
        <v>0.666666666666668</v>
      </c>
      <c r="J33" s="21">
        <f t="shared" si="0"/>
        <v>100</v>
      </c>
    </row>
    <row r="34" spans="1:10" ht="18.75" customHeight="1" hidden="1">
      <c r="A34" s="12">
        <v>150</v>
      </c>
      <c r="B34" s="27">
        <f>IF(ISTEXT(C34),COUNTIF(C$9:C34,"&lt;&gt;0"),"")</f>
      </c>
      <c r="C34" s="13">
        <f>VLOOKUP($A34,'Іменні заявки'!$A:$J,7,FALSE)</f>
        <v>0</v>
      </c>
      <c r="D34" s="148"/>
      <c r="E34" s="289"/>
      <c r="F34" s="289"/>
      <c r="G34" s="289"/>
      <c r="H34" s="28">
        <f>IF(ISNA(VLOOKUP(A34,'Проток.жеребк.'!$A:$G,5,FALSE)),"—",VLOOKUP(A34,'Проток.жеребк.'!$A:$G,5,FALSE))</f>
        <v>0</v>
      </c>
      <c r="I34" s="290">
        <v>0.680555555555557</v>
      </c>
      <c r="J34" s="21">
        <f t="shared" si="0"/>
        <v>150</v>
      </c>
    </row>
    <row r="35" spans="1:10" ht="18.75" customHeight="1" hidden="1" thickBot="1">
      <c r="A35" s="12">
        <v>160</v>
      </c>
      <c r="B35" s="365">
        <f>IF(ISTEXT(C35),COUNTIF(C$9:C35,"&lt;&gt;0"),"")</f>
      </c>
      <c r="C35" s="249">
        <f>VLOOKUP($A35,'Іменні заявки'!$A:$J,7,FALSE)</f>
        <v>0</v>
      </c>
      <c r="D35" s="251"/>
      <c r="E35" s="292"/>
      <c r="F35" s="292"/>
      <c r="G35" s="292"/>
      <c r="H35" s="250">
        <f>IF(ISNA(VLOOKUP(A35,'Проток.жеребк.'!$A:$G,5,FALSE)),"—",VLOOKUP(A35,'Проток.жеребк.'!$A:$G,5,FALSE))</f>
        <v>0</v>
      </c>
      <c r="I35" s="293">
        <v>0.694444444444446</v>
      </c>
      <c r="J35" s="21">
        <f t="shared" si="0"/>
        <v>160</v>
      </c>
    </row>
    <row r="36" spans="1:10" ht="15" customHeight="1">
      <c r="A36" s="3"/>
      <c r="B36" s="252"/>
      <c r="C36" s="252"/>
      <c r="D36" s="294"/>
      <c r="E36" s="294"/>
      <c r="F36" s="294"/>
      <c r="G36" s="294"/>
      <c r="H36" s="294"/>
      <c r="I36" s="252"/>
      <c r="J36" s="3"/>
    </row>
    <row r="37" spans="1:10" ht="13.5" customHeight="1">
      <c r="A37" s="3"/>
      <c r="C37" s="96" t="str">
        <f>"Головний суддя _________________ "&amp;'Іменні заявки'!$C$6</f>
        <v>Головний суддя _________________ Гринчук В.В.</v>
      </c>
      <c r="J37" s="3"/>
    </row>
    <row r="38" spans="1:10" ht="7.5" customHeight="1">
      <c r="A38" s="3"/>
      <c r="B38" s="104"/>
      <c r="C38"/>
      <c r="D38" s="104"/>
      <c r="E38" s="104"/>
      <c r="F38" s="104"/>
      <c r="G38" s="104"/>
      <c r="H38" s="104"/>
      <c r="I38" s="104"/>
      <c r="J38" s="3"/>
    </row>
    <row r="39" spans="1:10" ht="15" customHeight="1">
      <c r="A39" s="3"/>
      <c r="B39" s="3"/>
      <c r="C39" s="96" t="str">
        <f>"Головний секретар _________________ "&amp;'Іменні заявки'!$C$7</f>
        <v>Головний секретар _________________ Кіретова І.О.</v>
      </c>
      <c r="D39" s="14"/>
      <c r="E39" s="14"/>
      <c r="F39" s="14"/>
      <c r="G39" s="14"/>
      <c r="H39" s="14"/>
      <c r="I39" s="3"/>
      <c r="J39" s="3"/>
    </row>
    <row r="40" spans="1:10" ht="15" customHeight="1">
      <c r="A40" s="3"/>
      <c r="B40" s="3"/>
      <c r="C40" s="3"/>
      <c r="D40" s="14"/>
      <c r="E40" s="14"/>
      <c r="F40" s="14"/>
      <c r="G40" s="14"/>
      <c r="H40" s="14"/>
      <c r="I40" s="3"/>
      <c r="J40" s="3"/>
    </row>
    <row r="41" spans="1:10" ht="15" customHeight="1">
      <c r="A41" s="3"/>
      <c r="B41" s="3"/>
      <c r="C41" s="3"/>
      <c r="D41" s="14"/>
      <c r="E41" s="14"/>
      <c r="F41" s="14"/>
      <c r="G41" s="14"/>
      <c r="H41" s="14"/>
      <c r="I41" s="3"/>
      <c r="J41" s="3"/>
    </row>
    <row r="42" spans="1:10" ht="15" customHeight="1">
      <c r="A42" s="3"/>
      <c r="B42" s="3"/>
      <c r="C42" s="3"/>
      <c r="D42" s="14"/>
      <c r="E42" s="14"/>
      <c r="F42" s="14"/>
      <c r="G42" s="14"/>
      <c r="H42" s="14"/>
      <c r="I42" s="3"/>
      <c r="J42" s="3"/>
    </row>
    <row r="43" spans="1:10" ht="15" customHeight="1">
      <c r="A43" s="3"/>
      <c r="B43" s="3"/>
      <c r="C43" s="3"/>
      <c r="D43" s="14"/>
      <c r="E43" s="14"/>
      <c r="F43" s="14"/>
      <c r="G43" s="14"/>
      <c r="H43" s="14"/>
      <c r="I43" s="3"/>
      <c r="J43" s="3"/>
    </row>
    <row r="44" spans="1:10" ht="15" customHeight="1">
      <c r="A44" s="3"/>
      <c r="B44" s="3"/>
      <c r="C44" s="3"/>
      <c r="D44" s="14"/>
      <c r="E44" s="14"/>
      <c r="F44" s="14"/>
      <c r="G44" s="14"/>
      <c r="H44" s="14"/>
      <c r="I44" s="3"/>
      <c r="J44" s="3"/>
    </row>
    <row r="45" spans="1:10" ht="15" customHeight="1">
      <c r="A45" s="3"/>
      <c r="B45" s="3"/>
      <c r="C45" s="3"/>
      <c r="D45" s="14"/>
      <c r="E45" s="14"/>
      <c r="F45" s="14"/>
      <c r="G45" s="14"/>
      <c r="H45" s="14"/>
      <c r="I45" s="3"/>
      <c r="J45" s="3"/>
    </row>
    <row r="46" spans="1:10" ht="15" customHeight="1">
      <c r="A46" s="3"/>
      <c r="B46" s="3"/>
      <c r="C46" s="3"/>
      <c r="D46" s="14"/>
      <c r="E46" s="14"/>
      <c r="F46" s="14"/>
      <c r="G46" s="14"/>
      <c r="H46" s="14"/>
      <c r="I46" s="3"/>
      <c r="J46" s="3"/>
    </row>
    <row r="47" spans="1:10" ht="15" customHeight="1">
      <c r="A47" s="3"/>
      <c r="B47" s="3"/>
      <c r="C47" s="3"/>
      <c r="D47" s="14"/>
      <c r="E47" s="14"/>
      <c r="F47" s="14"/>
      <c r="G47" s="14"/>
      <c r="H47" s="14"/>
      <c r="I47" s="3"/>
      <c r="J47" s="3"/>
    </row>
    <row r="48" spans="4:8" s="3" customFormat="1" ht="15" customHeight="1">
      <c r="D48" s="14"/>
      <c r="E48" s="14"/>
      <c r="F48" s="14"/>
      <c r="G48" s="14"/>
      <c r="H48" s="14"/>
    </row>
    <row r="49" spans="4:8" s="3" customFormat="1" ht="15" customHeight="1">
      <c r="D49" s="14"/>
      <c r="E49" s="14"/>
      <c r="F49" s="14"/>
      <c r="G49" s="14"/>
      <c r="H49" s="14"/>
    </row>
    <row r="50" spans="4:8" s="3" customFormat="1" ht="15" customHeight="1">
      <c r="D50" s="14"/>
      <c r="E50" s="14"/>
      <c r="F50" s="14"/>
      <c r="G50" s="14"/>
      <c r="H50" s="14"/>
    </row>
    <row r="51" spans="4:8" s="3" customFormat="1" ht="15" customHeight="1">
      <c r="D51" s="14"/>
      <c r="E51" s="14"/>
      <c r="F51" s="14"/>
      <c r="G51" s="14"/>
      <c r="H51" s="14"/>
    </row>
    <row r="52" spans="4:8" s="3" customFormat="1" ht="15" customHeight="1">
      <c r="D52" s="14"/>
      <c r="E52" s="14"/>
      <c r="F52" s="14"/>
      <c r="G52" s="14"/>
      <c r="H52" s="14"/>
    </row>
    <row r="53" spans="4:8" s="3" customFormat="1" ht="15" customHeight="1">
      <c r="D53" s="14"/>
      <c r="E53" s="14"/>
      <c r="F53" s="14"/>
      <c r="G53" s="14"/>
      <c r="H53" s="14"/>
    </row>
    <row r="54" spans="4:8" s="3" customFormat="1" ht="15" customHeight="1">
      <c r="D54" s="14"/>
      <c r="E54" s="14"/>
      <c r="F54" s="14"/>
      <c r="G54" s="14"/>
      <c r="H54" s="14"/>
    </row>
    <row r="55" spans="4:8" s="3" customFormat="1" ht="15" customHeight="1">
      <c r="D55" s="14"/>
      <c r="E55" s="14"/>
      <c r="F55" s="14"/>
      <c r="G55" s="14"/>
      <c r="H55" s="14"/>
    </row>
    <row r="56" spans="4:8" s="3" customFormat="1" ht="15" customHeight="1">
      <c r="D56" s="14"/>
      <c r="E56" s="14"/>
      <c r="F56" s="14"/>
      <c r="G56" s="14"/>
      <c r="H56" s="14"/>
    </row>
    <row r="57" spans="4:8" s="3" customFormat="1" ht="15" customHeight="1">
      <c r="D57" s="14"/>
      <c r="E57" s="14"/>
      <c r="F57" s="14"/>
      <c r="G57" s="14"/>
      <c r="H57" s="14"/>
    </row>
    <row r="58" spans="4:8" s="3" customFormat="1" ht="15" customHeight="1">
      <c r="D58" s="14"/>
      <c r="E58" s="14"/>
      <c r="F58" s="14"/>
      <c r="G58" s="14"/>
      <c r="H58" s="14"/>
    </row>
    <row r="59" spans="4:8" s="3" customFormat="1" ht="15" customHeight="1">
      <c r="D59" s="14"/>
      <c r="E59" s="14"/>
      <c r="F59" s="14"/>
      <c r="G59" s="14"/>
      <c r="H59" s="14"/>
    </row>
    <row r="60" spans="4:8" s="3" customFormat="1" ht="15" customHeight="1">
      <c r="D60" s="14"/>
      <c r="E60" s="14"/>
      <c r="F60" s="14"/>
      <c r="G60" s="14"/>
      <c r="H60" s="14"/>
    </row>
    <row r="61" spans="4:8" s="3" customFormat="1" ht="15" customHeight="1">
      <c r="D61" s="14"/>
      <c r="E61" s="14"/>
      <c r="F61" s="14"/>
      <c r="G61" s="14"/>
      <c r="H61" s="14"/>
    </row>
    <row r="62" spans="4:8" s="3" customFormat="1" ht="15" customHeight="1">
      <c r="D62" s="14"/>
      <c r="E62" s="14"/>
      <c r="F62" s="14"/>
      <c r="G62" s="14"/>
      <c r="H62" s="14"/>
    </row>
    <row r="63" spans="4:8" s="3" customFormat="1" ht="15" customHeight="1">
      <c r="D63" s="14"/>
      <c r="E63" s="14"/>
      <c r="F63" s="14"/>
      <c r="G63" s="14"/>
      <c r="H63" s="14"/>
    </row>
    <row r="64" spans="4:8" s="3" customFormat="1" ht="15" customHeight="1">
      <c r="D64" s="14"/>
      <c r="E64" s="14"/>
      <c r="F64" s="14"/>
      <c r="G64" s="14"/>
      <c r="H64" s="14"/>
    </row>
    <row r="65" spans="4:8" s="3" customFormat="1" ht="15" customHeight="1">
      <c r="D65" s="14"/>
      <c r="E65" s="14"/>
      <c r="F65" s="14"/>
      <c r="G65" s="14"/>
      <c r="H65" s="14"/>
    </row>
    <row r="66" spans="4:8" s="3" customFormat="1" ht="15" customHeight="1">
      <c r="D66" s="14"/>
      <c r="E66" s="14"/>
      <c r="F66" s="14"/>
      <c r="G66" s="14"/>
      <c r="H66" s="14"/>
    </row>
    <row r="67" spans="4:8" s="3" customFormat="1" ht="15" customHeight="1">
      <c r="D67" s="14"/>
      <c r="E67" s="14"/>
      <c r="F67" s="14"/>
      <c r="G67" s="14"/>
      <c r="H67" s="14"/>
    </row>
    <row r="68" spans="4:8" s="3" customFormat="1" ht="15" customHeight="1">
      <c r="D68" s="14"/>
      <c r="E68" s="14"/>
      <c r="F68" s="14"/>
      <c r="G68" s="14"/>
      <c r="H68" s="14"/>
    </row>
    <row r="69" spans="4:8" s="3" customFormat="1" ht="15" customHeight="1">
      <c r="D69" s="14"/>
      <c r="E69" s="14"/>
      <c r="F69" s="14"/>
      <c r="G69" s="14"/>
      <c r="H69" s="14"/>
    </row>
    <row r="70" spans="4:8" s="3" customFormat="1" ht="15" customHeight="1">
      <c r="D70" s="14"/>
      <c r="E70" s="14"/>
      <c r="F70" s="14"/>
      <c r="G70" s="14"/>
      <c r="H70" s="14"/>
    </row>
    <row r="71" spans="4:8" s="3" customFormat="1" ht="15" customHeight="1">
      <c r="D71" s="14"/>
      <c r="E71" s="14"/>
      <c r="F71" s="14"/>
      <c r="G71" s="14"/>
      <c r="H71" s="14"/>
    </row>
    <row r="72" spans="4:8" s="3" customFormat="1" ht="15" customHeight="1">
      <c r="D72" s="14"/>
      <c r="E72" s="14"/>
      <c r="F72" s="14"/>
      <c r="G72" s="14"/>
      <c r="H72" s="14"/>
    </row>
    <row r="73" spans="4:8" s="3" customFormat="1" ht="15" customHeight="1">
      <c r="D73" s="14"/>
      <c r="E73" s="14"/>
      <c r="F73" s="14"/>
      <c r="G73" s="14"/>
      <c r="H73" s="14"/>
    </row>
    <row r="74" spans="4:8" s="3" customFormat="1" ht="15" customHeight="1">
      <c r="D74" s="14"/>
      <c r="E74" s="14"/>
      <c r="F74" s="14"/>
      <c r="G74" s="14"/>
      <c r="H74" s="14"/>
    </row>
    <row r="75" spans="4:8" s="3" customFormat="1" ht="15" customHeight="1">
      <c r="D75" s="14"/>
      <c r="E75" s="14"/>
      <c r="F75" s="14"/>
      <c r="G75" s="14"/>
      <c r="H75" s="14"/>
    </row>
    <row r="76" spans="4:8" s="3" customFormat="1" ht="15" customHeight="1">
      <c r="D76" s="14"/>
      <c r="E76" s="14"/>
      <c r="F76" s="14"/>
      <c r="G76" s="14"/>
      <c r="H76" s="14"/>
    </row>
    <row r="77" spans="4:8" s="3" customFormat="1" ht="15" customHeight="1">
      <c r="D77" s="14"/>
      <c r="E77" s="14"/>
      <c r="F77" s="14"/>
      <c r="G77" s="14"/>
      <c r="H77" s="14"/>
    </row>
    <row r="78" spans="4:8" s="3" customFormat="1" ht="15" customHeight="1">
      <c r="D78" s="14"/>
      <c r="E78" s="14"/>
      <c r="F78" s="14"/>
      <c r="G78" s="14"/>
      <c r="H78" s="14"/>
    </row>
    <row r="79" spans="4:8" s="3" customFormat="1" ht="15" customHeight="1">
      <c r="D79" s="14"/>
      <c r="E79" s="14"/>
      <c r="F79" s="14"/>
      <c r="G79" s="14"/>
      <c r="H79" s="14"/>
    </row>
    <row r="80" spans="4:8" s="3" customFormat="1" ht="15" customHeight="1">
      <c r="D80" s="14"/>
      <c r="E80" s="14"/>
      <c r="F80" s="14"/>
      <c r="G80" s="14"/>
      <c r="H80" s="14"/>
    </row>
    <row r="81" spans="4:8" s="3" customFormat="1" ht="15" customHeight="1">
      <c r="D81" s="14"/>
      <c r="E81" s="14"/>
      <c r="F81" s="14"/>
      <c r="G81" s="14"/>
      <c r="H81" s="14"/>
    </row>
    <row r="82" spans="4:8" s="3" customFormat="1" ht="15" customHeight="1">
      <c r="D82" s="14"/>
      <c r="E82" s="14"/>
      <c r="F82" s="14"/>
      <c r="G82" s="14"/>
      <c r="H82" s="14"/>
    </row>
    <row r="83" spans="4:8" s="3" customFormat="1" ht="15" customHeight="1">
      <c r="D83" s="14"/>
      <c r="E83" s="14"/>
      <c r="F83" s="14"/>
      <c r="G83" s="14"/>
      <c r="H83" s="14"/>
    </row>
    <row r="84" spans="4:8" s="3" customFormat="1" ht="15" customHeight="1">
      <c r="D84" s="14"/>
      <c r="E84" s="14"/>
      <c r="F84" s="14"/>
      <c r="G84" s="14"/>
      <c r="H84" s="14"/>
    </row>
    <row r="85" spans="4:8" s="3" customFormat="1" ht="15" customHeight="1">
      <c r="D85" s="14"/>
      <c r="E85" s="14"/>
      <c r="F85" s="14"/>
      <c r="G85" s="14"/>
      <c r="H85" s="14"/>
    </row>
    <row r="86" spans="4:8" s="3" customFormat="1" ht="15" customHeight="1">
      <c r="D86" s="14"/>
      <c r="E86" s="14"/>
      <c r="F86" s="14"/>
      <c r="G86" s="14"/>
      <c r="H86" s="14"/>
    </row>
    <row r="87" spans="4:8" s="3" customFormat="1" ht="15" customHeight="1">
      <c r="D87" s="14"/>
      <c r="E87" s="14"/>
      <c r="F87" s="14"/>
      <c r="G87" s="14"/>
      <c r="H87" s="14"/>
    </row>
    <row r="88" spans="4:8" s="3" customFormat="1" ht="15" customHeight="1">
      <c r="D88" s="14"/>
      <c r="E88" s="14"/>
      <c r="F88" s="14"/>
      <c r="G88" s="14"/>
      <c r="H88" s="14"/>
    </row>
    <row r="89" spans="4:8" s="3" customFormat="1" ht="15" customHeight="1">
      <c r="D89" s="14"/>
      <c r="E89" s="14"/>
      <c r="F89" s="14"/>
      <c r="G89" s="14"/>
      <c r="H89" s="14"/>
    </row>
    <row r="90" spans="4:8" s="3" customFormat="1" ht="15" customHeight="1">
      <c r="D90" s="14"/>
      <c r="E90" s="14"/>
      <c r="F90" s="14"/>
      <c r="G90" s="14"/>
      <c r="H90" s="14"/>
    </row>
    <row r="91" spans="4:8" s="3" customFormat="1" ht="15" customHeight="1">
      <c r="D91" s="14"/>
      <c r="E91" s="14"/>
      <c r="F91" s="14"/>
      <c r="G91" s="14"/>
      <c r="H91" s="14"/>
    </row>
    <row r="92" spans="4:8" s="3" customFormat="1" ht="15" customHeight="1">
      <c r="D92" s="14"/>
      <c r="E92" s="14"/>
      <c r="F92" s="14"/>
      <c r="G92" s="14"/>
      <c r="H92" s="14"/>
    </row>
    <row r="93" spans="4:8" s="3" customFormat="1" ht="15" customHeight="1">
      <c r="D93" s="14"/>
      <c r="E93" s="14"/>
      <c r="F93" s="14"/>
      <c r="G93" s="14"/>
      <c r="H93" s="14"/>
    </row>
    <row r="94" spans="4:8" s="3" customFormat="1" ht="15" customHeight="1">
      <c r="D94" s="14"/>
      <c r="E94" s="14"/>
      <c r="F94" s="14"/>
      <c r="G94" s="14"/>
      <c r="H94" s="14"/>
    </row>
    <row r="95" spans="4:8" s="3" customFormat="1" ht="15" customHeight="1">
      <c r="D95" s="14"/>
      <c r="E95" s="14"/>
      <c r="F95" s="14"/>
      <c r="G95" s="14"/>
      <c r="H95" s="14"/>
    </row>
    <row r="96" spans="4:8" s="3" customFormat="1" ht="15" customHeight="1">
      <c r="D96" s="14"/>
      <c r="E96" s="14"/>
      <c r="F96" s="14"/>
      <c r="G96" s="14"/>
      <c r="H96" s="14"/>
    </row>
    <row r="97" spans="4:8" s="3" customFormat="1" ht="15" customHeight="1">
      <c r="D97" s="14"/>
      <c r="E97" s="14"/>
      <c r="F97" s="14"/>
      <c r="G97" s="14"/>
      <c r="H97" s="14"/>
    </row>
    <row r="98" spans="4:8" s="3" customFormat="1" ht="15" customHeight="1">
      <c r="D98" s="14"/>
      <c r="E98" s="14"/>
      <c r="F98" s="14"/>
      <c r="G98" s="14"/>
      <c r="H98" s="14"/>
    </row>
    <row r="99" spans="4:8" s="3" customFormat="1" ht="15" customHeight="1">
      <c r="D99" s="14"/>
      <c r="E99" s="14"/>
      <c r="F99" s="14"/>
      <c r="G99" s="14"/>
      <c r="H99" s="14"/>
    </row>
    <row r="100" spans="4:8" s="3" customFormat="1" ht="15" customHeight="1">
      <c r="D100" s="14"/>
      <c r="E100" s="14"/>
      <c r="F100" s="14"/>
      <c r="G100" s="14"/>
      <c r="H100" s="14"/>
    </row>
    <row r="101" spans="4:8" s="3" customFormat="1" ht="15" customHeight="1">
      <c r="D101" s="14"/>
      <c r="E101" s="14"/>
      <c r="F101" s="14"/>
      <c r="G101" s="14"/>
      <c r="H101" s="14"/>
    </row>
    <row r="102" spans="4:8" s="3" customFormat="1" ht="15" customHeight="1">
      <c r="D102" s="14"/>
      <c r="E102" s="14"/>
      <c r="F102" s="14"/>
      <c r="G102" s="14"/>
      <c r="H102" s="14"/>
    </row>
    <row r="103" spans="4:8" s="3" customFormat="1" ht="15" customHeight="1">
      <c r="D103" s="14"/>
      <c r="E103" s="14"/>
      <c r="F103" s="14"/>
      <c r="G103" s="14"/>
      <c r="H103" s="14"/>
    </row>
    <row r="104" spans="4:8" s="3" customFormat="1" ht="15" customHeight="1">
      <c r="D104" s="14"/>
      <c r="E104" s="14"/>
      <c r="F104" s="14"/>
      <c r="G104" s="14"/>
      <c r="H104" s="14"/>
    </row>
    <row r="105" spans="4:8" s="3" customFormat="1" ht="15" customHeight="1">
      <c r="D105" s="14"/>
      <c r="E105" s="14"/>
      <c r="F105" s="14"/>
      <c r="G105" s="14"/>
      <c r="H105" s="14"/>
    </row>
    <row r="106" spans="4:8" s="3" customFormat="1" ht="15" customHeight="1">
      <c r="D106" s="14"/>
      <c r="E106" s="14"/>
      <c r="F106" s="14"/>
      <c r="G106" s="14"/>
      <c r="H106" s="14"/>
    </row>
    <row r="107" spans="4:8" s="3" customFormat="1" ht="15" customHeight="1">
      <c r="D107" s="14"/>
      <c r="E107" s="14"/>
      <c r="F107" s="14"/>
      <c r="G107" s="14"/>
      <c r="H107" s="14"/>
    </row>
    <row r="108" spans="4:8" s="3" customFormat="1" ht="15" customHeight="1">
      <c r="D108" s="14"/>
      <c r="E108" s="14"/>
      <c r="F108" s="14"/>
      <c r="G108" s="14"/>
      <c r="H108" s="14"/>
    </row>
    <row r="109" spans="4:8" s="3" customFormat="1" ht="15" customHeight="1">
      <c r="D109" s="14"/>
      <c r="E109" s="14"/>
      <c r="F109" s="14"/>
      <c r="G109" s="14"/>
      <c r="H109" s="14"/>
    </row>
    <row r="110" spans="4:8" s="3" customFormat="1" ht="15" customHeight="1">
      <c r="D110" s="14"/>
      <c r="E110" s="14"/>
      <c r="F110" s="14"/>
      <c r="G110" s="14"/>
      <c r="H110" s="14"/>
    </row>
    <row r="111" spans="4:8" s="3" customFormat="1" ht="15" customHeight="1">
      <c r="D111" s="14"/>
      <c r="E111" s="14"/>
      <c r="F111" s="14"/>
      <c r="G111" s="14"/>
      <c r="H111" s="14"/>
    </row>
    <row r="112" spans="4:8" s="3" customFormat="1" ht="15" customHeight="1">
      <c r="D112" s="14"/>
      <c r="E112" s="14"/>
      <c r="F112" s="14"/>
      <c r="G112" s="14"/>
      <c r="H112" s="14"/>
    </row>
    <row r="113" spans="4:8" s="3" customFormat="1" ht="15" customHeight="1">
      <c r="D113" s="14"/>
      <c r="E113" s="14"/>
      <c r="F113" s="14"/>
      <c r="G113" s="14"/>
      <c r="H113" s="14"/>
    </row>
    <row r="114" spans="4:8" s="3" customFormat="1" ht="15" customHeight="1">
      <c r="D114" s="14"/>
      <c r="E114" s="14"/>
      <c r="F114" s="14"/>
      <c r="G114" s="14"/>
      <c r="H114" s="14"/>
    </row>
    <row r="115" spans="4:8" s="3" customFormat="1" ht="15" customHeight="1">
      <c r="D115" s="14"/>
      <c r="E115" s="14"/>
      <c r="F115" s="14"/>
      <c r="G115" s="14"/>
      <c r="H115" s="14"/>
    </row>
    <row r="116" spans="4:8" s="3" customFormat="1" ht="15" customHeight="1">
      <c r="D116" s="14"/>
      <c r="E116" s="14"/>
      <c r="F116" s="14"/>
      <c r="G116" s="14"/>
      <c r="H116" s="14"/>
    </row>
    <row r="117" spans="4:8" s="3" customFormat="1" ht="15" customHeight="1">
      <c r="D117" s="14"/>
      <c r="E117" s="14"/>
      <c r="F117" s="14"/>
      <c r="G117" s="14"/>
      <c r="H117" s="14"/>
    </row>
    <row r="118" spans="4:8" s="3" customFormat="1" ht="15" customHeight="1">
      <c r="D118" s="14"/>
      <c r="E118" s="14"/>
      <c r="F118" s="14"/>
      <c r="G118" s="14"/>
      <c r="H118" s="14"/>
    </row>
    <row r="119" spans="4:8" s="3" customFormat="1" ht="15" customHeight="1">
      <c r="D119" s="14"/>
      <c r="E119" s="14"/>
      <c r="F119" s="14"/>
      <c r="G119" s="14"/>
      <c r="H119" s="14"/>
    </row>
    <row r="120" spans="4:8" s="3" customFormat="1" ht="15" customHeight="1">
      <c r="D120" s="14"/>
      <c r="E120" s="14"/>
      <c r="F120" s="14"/>
      <c r="G120" s="14"/>
      <c r="H120" s="14"/>
    </row>
    <row r="121" spans="4:8" s="3" customFormat="1" ht="15" customHeight="1">
      <c r="D121" s="14"/>
      <c r="E121" s="14"/>
      <c r="F121" s="14"/>
      <c r="G121" s="14"/>
      <c r="H121" s="14"/>
    </row>
    <row r="122" spans="4:8" s="3" customFormat="1" ht="15" customHeight="1">
      <c r="D122" s="14"/>
      <c r="E122" s="14"/>
      <c r="F122" s="14"/>
      <c r="G122" s="14"/>
      <c r="H122" s="14"/>
    </row>
    <row r="123" spans="4:8" s="3" customFormat="1" ht="15" customHeight="1">
      <c r="D123" s="14"/>
      <c r="E123" s="14"/>
      <c r="F123" s="14"/>
      <c r="G123" s="14"/>
      <c r="H123" s="14"/>
    </row>
    <row r="124" spans="4:8" s="3" customFormat="1" ht="15" customHeight="1">
      <c r="D124" s="14"/>
      <c r="E124" s="14"/>
      <c r="F124" s="14"/>
      <c r="G124" s="14"/>
      <c r="H124" s="14"/>
    </row>
    <row r="125" spans="4:8" s="3" customFormat="1" ht="15" customHeight="1">
      <c r="D125" s="14"/>
      <c r="E125" s="14"/>
      <c r="F125" s="14"/>
      <c r="G125" s="14"/>
      <c r="H125" s="14"/>
    </row>
    <row r="126" spans="4:8" s="3" customFormat="1" ht="15" customHeight="1">
      <c r="D126" s="14"/>
      <c r="E126" s="14"/>
      <c r="F126" s="14"/>
      <c r="G126" s="14"/>
      <c r="H126" s="14"/>
    </row>
    <row r="127" spans="4:8" s="3" customFormat="1" ht="15" customHeight="1">
      <c r="D127" s="14"/>
      <c r="E127" s="14"/>
      <c r="F127" s="14"/>
      <c r="G127" s="14"/>
      <c r="H127" s="14"/>
    </row>
    <row r="128" spans="4:8" s="3" customFormat="1" ht="15" customHeight="1">
      <c r="D128" s="14"/>
      <c r="E128" s="14"/>
      <c r="F128" s="14"/>
      <c r="G128" s="14"/>
      <c r="H128" s="14"/>
    </row>
    <row r="129" spans="4:8" s="3" customFormat="1" ht="15" customHeight="1">
      <c r="D129" s="14"/>
      <c r="E129" s="14"/>
      <c r="F129" s="14"/>
      <c r="G129" s="14"/>
      <c r="H129" s="14"/>
    </row>
    <row r="130" spans="4:8" s="3" customFormat="1" ht="15" customHeight="1">
      <c r="D130" s="14"/>
      <c r="E130" s="14"/>
      <c r="F130" s="14"/>
      <c r="G130" s="14"/>
      <c r="H130" s="14"/>
    </row>
    <row r="131" spans="4:8" s="3" customFormat="1" ht="15" customHeight="1">
      <c r="D131" s="14"/>
      <c r="E131" s="14"/>
      <c r="F131" s="14"/>
      <c r="G131" s="14"/>
      <c r="H131" s="14"/>
    </row>
    <row r="132" spans="4:8" s="3" customFormat="1" ht="15" customHeight="1">
      <c r="D132" s="14"/>
      <c r="E132" s="14"/>
      <c r="F132" s="14"/>
      <c r="G132" s="14"/>
      <c r="H132" s="14"/>
    </row>
    <row r="133" spans="4:8" s="3" customFormat="1" ht="15" customHeight="1">
      <c r="D133" s="14"/>
      <c r="E133" s="14"/>
      <c r="F133" s="14"/>
      <c r="G133" s="14"/>
      <c r="H133" s="14"/>
    </row>
    <row r="134" spans="4:8" s="3" customFormat="1" ht="15" customHeight="1">
      <c r="D134" s="14"/>
      <c r="E134" s="14"/>
      <c r="F134" s="14"/>
      <c r="G134" s="14"/>
      <c r="H134" s="14"/>
    </row>
    <row r="135" spans="4:8" s="3" customFormat="1" ht="15" customHeight="1">
      <c r="D135" s="14"/>
      <c r="E135" s="14"/>
      <c r="F135" s="14"/>
      <c r="G135" s="14"/>
      <c r="H135" s="14"/>
    </row>
    <row r="136" spans="4:8" s="3" customFormat="1" ht="15" customHeight="1">
      <c r="D136" s="14"/>
      <c r="E136" s="14"/>
      <c r="F136" s="14"/>
      <c r="G136" s="14"/>
      <c r="H136" s="14"/>
    </row>
    <row r="137" spans="4:8" s="3" customFormat="1" ht="15" customHeight="1">
      <c r="D137" s="14"/>
      <c r="E137" s="14"/>
      <c r="F137" s="14"/>
      <c r="G137" s="14"/>
      <c r="H137" s="14"/>
    </row>
    <row r="138" spans="4:8" s="3" customFormat="1" ht="15" customHeight="1">
      <c r="D138" s="14"/>
      <c r="E138" s="14"/>
      <c r="F138" s="14"/>
      <c r="G138" s="14"/>
      <c r="H138" s="14"/>
    </row>
    <row r="139" spans="4:8" s="3" customFormat="1" ht="15" customHeight="1">
      <c r="D139" s="14"/>
      <c r="E139" s="14"/>
      <c r="F139" s="14"/>
      <c r="G139" s="14"/>
      <c r="H139" s="14"/>
    </row>
    <row r="140" spans="4:8" s="3" customFormat="1" ht="15" customHeight="1">
      <c r="D140" s="14"/>
      <c r="E140" s="14"/>
      <c r="F140" s="14"/>
      <c r="G140" s="14"/>
      <c r="H140" s="14"/>
    </row>
    <row r="141" spans="4:8" s="3" customFormat="1" ht="15" customHeight="1">
      <c r="D141" s="14"/>
      <c r="E141" s="14"/>
      <c r="F141" s="14"/>
      <c r="G141" s="14"/>
      <c r="H141" s="14"/>
    </row>
    <row r="142" spans="4:8" s="3" customFormat="1" ht="15" customHeight="1">
      <c r="D142" s="14"/>
      <c r="E142" s="14"/>
      <c r="F142" s="14"/>
      <c r="G142" s="14"/>
      <c r="H142" s="14"/>
    </row>
    <row r="143" spans="4:8" s="3" customFormat="1" ht="15" customHeight="1">
      <c r="D143" s="14"/>
      <c r="E143" s="14"/>
      <c r="F143" s="14"/>
      <c r="G143" s="14"/>
      <c r="H143" s="14"/>
    </row>
    <row r="144" spans="4:8" s="3" customFormat="1" ht="15" customHeight="1">
      <c r="D144" s="14"/>
      <c r="E144" s="14"/>
      <c r="F144" s="14"/>
      <c r="G144" s="14"/>
      <c r="H144" s="14"/>
    </row>
    <row r="145" spans="4:8" s="3" customFormat="1" ht="15" customHeight="1">
      <c r="D145" s="14"/>
      <c r="E145" s="14"/>
      <c r="F145" s="14"/>
      <c r="G145" s="14"/>
      <c r="H145" s="14"/>
    </row>
    <row r="146" spans="4:8" s="3" customFormat="1" ht="15" customHeight="1">
      <c r="D146" s="14"/>
      <c r="E146" s="14"/>
      <c r="F146" s="14"/>
      <c r="G146" s="14"/>
      <c r="H146" s="14"/>
    </row>
    <row r="147" spans="4:8" s="3" customFormat="1" ht="15" customHeight="1">
      <c r="D147" s="14"/>
      <c r="E147" s="14"/>
      <c r="F147" s="14"/>
      <c r="G147" s="14"/>
      <c r="H147" s="14"/>
    </row>
    <row r="148" spans="4:8" s="3" customFormat="1" ht="15" customHeight="1">
      <c r="D148" s="14"/>
      <c r="E148" s="14"/>
      <c r="F148" s="14"/>
      <c r="G148" s="14"/>
      <c r="H148" s="14"/>
    </row>
    <row r="149" spans="4:8" s="3" customFormat="1" ht="15" customHeight="1">
      <c r="D149" s="14"/>
      <c r="E149" s="14"/>
      <c r="F149" s="14"/>
      <c r="G149" s="14"/>
      <c r="H149" s="14"/>
    </row>
    <row r="150" spans="4:8" s="3" customFormat="1" ht="15" customHeight="1">
      <c r="D150" s="14"/>
      <c r="E150" s="14"/>
      <c r="F150" s="14"/>
      <c r="G150" s="14"/>
      <c r="H150" s="14"/>
    </row>
    <row r="151" spans="4:8" s="3" customFormat="1" ht="15" customHeight="1">
      <c r="D151" s="14"/>
      <c r="E151" s="14"/>
      <c r="F151" s="14"/>
      <c r="G151" s="14"/>
      <c r="H151" s="14"/>
    </row>
    <row r="152" spans="4:8" s="3" customFormat="1" ht="15" customHeight="1">
      <c r="D152" s="14"/>
      <c r="E152" s="14"/>
      <c r="F152" s="14"/>
      <c r="G152" s="14"/>
      <c r="H152" s="14"/>
    </row>
    <row r="153" spans="4:8" s="3" customFormat="1" ht="15" customHeight="1">
      <c r="D153" s="14"/>
      <c r="E153" s="14"/>
      <c r="F153" s="14"/>
      <c r="G153" s="14"/>
      <c r="H153" s="14"/>
    </row>
    <row r="154" spans="4:8" s="3" customFormat="1" ht="15" customHeight="1">
      <c r="D154" s="14"/>
      <c r="E154" s="14"/>
      <c r="F154" s="14"/>
      <c r="G154" s="14"/>
      <c r="H154" s="14"/>
    </row>
    <row r="155" spans="4:8" s="3" customFormat="1" ht="15" customHeight="1">
      <c r="D155" s="14"/>
      <c r="E155" s="14"/>
      <c r="F155" s="14"/>
      <c r="G155" s="14"/>
      <c r="H155" s="14"/>
    </row>
    <row r="156" spans="4:8" s="3" customFormat="1" ht="15" customHeight="1">
      <c r="D156" s="14"/>
      <c r="E156" s="14"/>
      <c r="F156" s="14"/>
      <c r="G156" s="14"/>
      <c r="H156" s="14"/>
    </row>
    <row r="157" spans="4:8" s="3" customFormat="1" ht="15" customHeight="1">
      <c r="D157" s="14"/>
      <c r="E157" s="14"/>
      <c r="F157" s="14"/>
      <c r="G157" s="14"/>
      <c r="H157" s="14"/>
    </row>
    <row r="158" spans="4:8" s="3" customFormat="1" ht="15" customHeight="1">
      <c r="D158" s="14"/>
      <c r="E158" s="14"/>
      <c r="F158" s="14"/>
      <c r="G158" s="14"/>
      <c r="H158" s="14"/>
    </row>
    <row r="159" spans="4:8" s="3" customFormat="1" ht="15" customHeight="1">
      <c r="D159" s="14"/>
      <c r="E159" s="14"/>
      <c r="F159" s="14"/>
      <c r="G159" s="14"/>
      <c r="H159" s="14"/>
    </row>
    <row r="160" spans="4:8" s="3" customFormat="1" ht="15" customHeight="1">
      <c r="D160" s="14"/>
      <c r="E160" s="14"/>
      <c r="F160" s="14"/>
      <c r="G160" s="14"/>
      <c r="H160" s="14"/>
    </row>
    <row r="161" spans="4:8" s="3" customFormat="1" ht="15" customHeight="1">
      <c r="D161" s="14"/>
      <c r="E161" s="14"/>
      <c r="F161" s="14"/>
      <c r="G161" s="14"/>
      <c r="H161" s="14"/>
    </row>
    <row r="162" spans="4:8" s="3" customFormat="1" ht="15" customHeight="1">
      <c r="D162" s="14"/>
      <c r="E162" s="14"/>
      <c r="F162" s="14"/>
      <c r="G162" s="14"/>
      <c r="H162" s="14"/>
    </row>
    <row r="163" spans="4:8" s="3" customFormat="1" ht="15" customHeight="1">
      <c r="D163" s="14"/>
      <c r="E163" s="14"/>
      <c r="F163" s="14"/>
      <c r="G163" s="14"/>
      <c r="H163" s="14"/>
    </row>
    <row r="164" spans="4:8" s="3" customFormat="1" ht="15" customHeight="1">
      <c r="D164" s="14"/>
      <c r="E164" s="14"/>
      <c r="F164" s="14"/>
      <c r="G164" s="14"/>
      <c r="H164" s="14"/>
    </row>
    <row r="165" spans="4:8" s="3" customFormat="1" ht="15" customHeight="1">
      <c r="D165" s="14"/>
      <c r="E165" s="14"/>
      <c r="F165" s="14"/>
      <c r="G165" s="14"/>
      <c r="H165" s="14"/>
    </row>
    <row r="166" spans="4:8" s="3" customFormat="1" ht="15" customHeight="1">
      <c r="D166" s="14"/>
      <c r="E166" s="14"/>
      <c r="F166" s="14"/>
      <c r="G166" s="14"/>
      <c r="H166" s="14"/>
    </row>
    <row r="167" spans="4:8" s="3" customFormat="1" ht="15" customHeight="1">
      <c r="D167" s="14"/>
      <c r="E167" s="14"/>
      <c r="F167" s="14"/>
      <c r="G167" s="14"/>
      <c r="H167" s="14"/>
    </row>
    <row r="168" spans="4:8" s="3" customFormat="1" ht="15" customHeight="1">
      <c r="D168" s="14"/>
      <c r="E168" s="14"/>
      <c r="F168" s="14"/>
      <c r="G168" s="14"/>
      <c r="H168" s="14"/>
    </row>
    <row r="169" spans="4:8" s="3" customFormat="1" ht="15" customHeight="1">
      <c r="D169" s="14"/>
      <c r="E169" s="14"/>
      <c r="F169" s="14"/>
      <c r="G169" s="14"/>
      <c r="H169" s="14"/>
    </row>
    <row r="170" spans="4:8" s="3" customFormat="1" ht="15" customHeight="1">
      <c r="D170" s="14"/>
      <c r="E170" s="14"/>
      <c r="F170" s="14"/>
      <c r="G170" s="14"/>
      <c r="H170" s="14"/>
    </row>
    <row r="171" spans="4:8" s="3" customFormat="1" ht="15" customHeight="1">
      <c r="D171" s="14"/>
      <c r="E171" s="14"/>
      <c r="F171" s="14"/>
      <c r="G171" s="14"/>
      <c r="H171" s="14"/>
    </row>
    <row r="172" spans="4:8" s="3" customFormat="1" ht="15" customHeight="1">
      <c r="D172" s="14"/>
      <c r="E172" s="14"/>
      <c r="F172" s="14"/>
      <c r="G172" s="14"/>
      <c r="H172" s="14"/>
    </row>
    <row r="173" spans="4:8" s="3" customFormat="1" ht="15" customHeight="1">
      <c r="D173" s="14"/>
      <c r="E173" s="14"/>
      <c r="F173" s="14"/>
      <c r="G173" s="14"/>
      <c r="H173" s="14"/>
    </row>
    <row r="174" spans="4:8" s="3" customFormat="1" ht="15" customHeight="1">
      <c r="D174" s="14"/>
      <c r="E174" s="14"/>
      <c r="F174" s="14"/>
      <c r="G174" s="14"/>
      <c r="H174" s="14"/>
    </row>
    <row r="175" spans="4:8" s="3" customFormat="1" ht="15" customHeight="1">
      <c r="D175" s="14"/>
      <c r="E175" s="14"/>
      <c r="F175" s="14"/>
      <c r="G175" s="14"/>
      <c r="H175" s="14"/>
    </row>
    <row r="176" spans="4:8" s="3" customFormat="1" ht="15" customHeight="1">
      <c r="D176" s="14"/>
      <c r="E176" s="14"/>
      <c r="F176" s="14"/>
      <c r="G176" s="14"/>
      <c r="H176" s="14"/>
    </row>
    <row r="177" spans="4:8" s="3" customFormat="1" ht="15" customHeight="1">
      <c r="D177" s="14"/>
      <c r="E177" s="14"/>
      <c r="F177" s="14"/>
      <c r="G177" s="14"/>
      <c r="H177" s="14"/>
    </row>
    <row r="178" spans="4:8" s="3" customFormat="1" ht="15" customHeight="1">
      <c r="D178" s="14"/>
      <c r="E178" s="14"/>
      <c r="F178" s="14"/>
      <c r="G178" s="14"/>
      <c r="H178" s="14"/>
    </row>
    <row r="179" spans="4:8" s="3" customFormat="1" ht="15" customHeight="1">
      <c r="D179" s="14"/>
      <c r="E179" s="14"/>
      <c r="F179" s="14"/>
      <c r="G179" s="14"/>
      <c r="H179" s="14"/>
    </row>
    <row r="180" spans="4:8" s="3" customFormat="1" ht="15" customHeight="1">
      <c r="D180" s="14"/>
      <c r="E180" s="14"/>
      <c r="F180" s="14"/>
      <c r="G180" s="14"/>
      <c r="H180" s="14"/>
    </row>
    <row r="181" ht="15" customHeight="1"/>
  </sheetData>
  <sheetProtection/>
  <mergeCells count="5">
    <mergeCell ref="B1:I1"/>
    <mergeCell ref="B2:I2"/>
    <mergeCell ref="B3:I3"/>
    <mergeCell ref="B4:I4"/>
    <mergeCell ref="B6:I6"/>
  </mergeCells>
  <printOptions horizontalCentered="1"/>
  <pageMargins left="0.984251968503937" right="0.3937007874015748" top="0.3937007874015748" bottom="0.3937007874015748" header="0.5118110236220472" footer="0.5118110236220472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Notebook-2</cp:lastModifiedBy>
  <cp:lastPrinted>2015-10-10T15:40:01Z</cp:lastPrinted>
  <dcterms:created xsi:type="dcterms:W3CDTF">2007-05-13T12:38:33Z</dcterms:created>
  <dcterms:modified xsi:type="dcterms:W3CDTF">2015-10-11T06:27:58Z</dcterms:modified>
  <cp:category/>
  <cp:version/>
  <cp:contentType/>
  <cp:contentStatus/>
</cp:coreProperties>
</file>